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<sst xmlns="http://schemas.openxmlformats.org/spreadsheetml/2006/main" count="1822" uniqueCount="884">
  <si>
    <t>S.No.</t>
  </si>
  <si>
    <t>c.c.*</t>
  </si>
  <si>
    <t>coordinates*</t>
  </si>
  <si>
    <t>TZ*</t>
  </si>
  <si>
    <t>comments*</t>
  </si>
  <si>
    <t>Standard time</t>
  </si>
  <si>
    <t>Summer time</t>
  </si>
  <si>
    <t>AD</t>
  </si>
  <si>
    <t>Europe/Andorra</t>
  </si>
  <si>
    <t>UTC+01</t>
  </si>
  <si>
    <t>UTC+02</t>
  </si>
  <si>
    <t>AE</t>
  </si>
  <si>
    <t>Asia/Dubai</t>
  </si>
  <si>
    <t>UTC+04</t>
  </si>
  <si>
    <t>-</t>
  </si>
  <si>
    <t>AF</t>
  </si>
  <si>
    <t>Asia/Kabul</t>
  </si>
  <si>
    <t>UTC+04:30</t>
  </si>
  <si>
    <t>AG</t>
  </si>
  <si>
    <t>America/Antigua</t>
  </si>
  <si>
    <t>UTC-04</t>
  </si>
  <si>
    <t>AI</t>
  </si>
  <si>
    <t>America/Anguilla</t>
  </si>
  <si>
    <t>AL</t>
  </si>
  <si>
    <t>Europe/Tirane</t>
  </si>
  <si>
    <t>AM</t>
  </si>
  <si>
    <t>Asia/Yerevan</t>
  </si>
  <si>
    <t>UTC+05</t>
  </si>
  <si>
    <t>AN</t>
  </si>
  <si>
    <t>America/Curacao</t>
  </si>
  <si>
    <t>AO</t>
  </si>
  <si>
    <t>Africa/Luanda</t>
  </si>
  <si>
    <t>AQ</t>
  </si>
  <si>
    <t>Antarctica/McMurdo</t>
  </si>
  <si>
    <t>McMurdo Station, Ross Island</t>
  </si>
  <si>
    <t>UTC+12</t>
  </si>
  <si>
    <t>UTC+13</t>
  </si>
  <si>
    <t>Antarctica/South_Pole</t>
  </si>
  <si>
    <t>Amundsen-Scott Station, South Pole</t>
  </si>
  <si>
    <t>Antarctica/Rothera</t>
  </si>
  <si>
    <t>Rothera Station, Adelaide Island</t>
  </si>
  <si>
    <t>UTC-03</t>
  </si>
  <si>
    <t>Antarctica/Palmer</t>
  </si>
  <si>
    <t>Palmer Station, Anvers Island</t>
  </si>
  <si>
    <t>Antarctica/Mawson</t>
  </si>
  <si>
    <t>Mawson Station, Holme Bay</t>
  </si>
  <si>
    <t>UTC+06</t>
  </si>
  <si>
    <t>Antarctica/Davis</t>
  </si>
  <si>
    <t>Davis Station, Vestfold Hills</t>
  </si>
  <si>
    <t>UTC+07</t>
  </si>
  <si>
    <t>Antarctica/Casey</t>
  </si>
  <si>
    <t>Casey Station, Bailey Peninsula</t>
  </si>
  <si>
    <t>UTC+08</t>
  </si>
  <si>
    <t>Antarctica/Vostok</t>
  </si>
  <si>
    <t>Vostok Station, S Magnetic Pole</t>
  </si>
  <si>
    <t>UTC+00</t>
  </si>
  <si>
    <t>Antarctica/DumontDUrville</t>
  </si>
  <si>
    <t>Dumont-d'Urville Station, Terre Adelie</t>
  </si>
  <si>
    <t>UTC+10</t>
  </si>
  <si>
    <t>Antarctica/Syowa</t>
  </si>
  <si>
    <t>Syowa Station, E Ongul I</t>
  </si>
  <si>
    <t>UTC+03</t>
  </si>
  <si>
    <t>AR</t>
  </si>
  <si>
    <t>America/Argentina
/Buenos_Aires</t>
  </si>
  <si>
    <t>Buenos Aires (BA, CF)</t>
  </si>
  <si>
    <t>UTC-02</t>
  </si>
  <si>
    <t>America/Argentina
/Cordoba</t>
  </si>
  <si>
    <t>most locations (CB, CC, CN, ER, FM, MN, SE, SF)</t>
  </si>
  <si>
    <t>America/Argentina
/Salta</t>
  </si>
  <si>
    <t>(SA, LP, NQ, RN)</t>
  </si>
  <si>
    <t>America/Argentina
/Jujuy</t>
  </si>
  <si>
    <t>Jujuy (JY)</t>
  </si>
  <si>
    <t>America/Argentina
/Tucuman</t>
  </si>
  <si>
    <t>Tucuman (TM)</t>
  </si>
  <si>
    <t>America/Argentina
/Catamarca</t>
  </si>
  <si>
    <t>Catamarca (CT), Chubut (CH)</t>
  </si>
  <si>
    <t>America/Argentina
/La_Rioja</t>
  </si>
  <si>
    <t>La Rioja (LR)</t>
  </si>
  <si>
    <t>America/Argentina
/San_Juan</t>
  </si>
  <si>
    <t>San Juan (SJ)</t>
  </si>
  <si>
    <t>America/Argentina
/Mendoza</t>
  </si>
  <si>
    <t>Mendoza (MZ)</t>
  </si>
  <si>
    <t>America/Argentina
/San_Luis</t>
  </si>
  <si>
    <t>San Luis (SL)</t>
  </si>
  <si>
    <t>America/Argentina
/Rio_Gallegos</t>
  </si>
  <si>
    <t>Santa Cruz (SC)</t>
  </si>
  <si>
    <t>America/Argentina
/Ushuaia</t>
  </si>
  <si>
    <t>Tierra del Fuego (TF)</t>
  </si>
  <si>
    <t>AS</t>
  </si>
  <si>
    <t>Pacific/Pago_Pago</t>
  </si>
  <si>
    <t>UTC-11</t>
  </si>
  <si>
    <t>AT</t>
  </si>
  <si>
    <t>Europe/Vienna</t>
  </si>
  <si>
    <t>AU</t>
  </si>
  <si>
    <t>Australia/Lord_Howe</t>
  </si>
  <si>
    <t>Lord Howe Island</t>
  </si>
  <si>
    <t>UTC+10:30</t>
  </si>
  <si>
    <t>UTC+11</t>
  </si>
  <si>
    <t>Australia/Hobart</t>
  </si>
  <si>
    <t>Tasmania - most locations</t>
  </si>
  <si>
    <t>Australia/Currie</t>
  </si>
  <si>
    <t>Tasmania - King Island</t>
  </si>
  <si>
    <t>Australia/Melbourne</t>
  </si>
  <si>
    <t>Victoria</t>
  </si>
  <si>
    <t>Australia/Sydney</t>
  </si>
  <si>
    <t>New South Wales - most locations</t>
  </si>
  <si>
    <t>Australia/Broken_Hill</t>
  </si>
  <si>
    <t>New South Wales - Yancowinna</t>
  </si>
  <si>
    <t>UTC+09:30</t>
  </si>
  <si>
    <t>Australia/Brisbane</t>
  </si>
  <si>
    <t>Queensland - most locations</t>
  </si>
  <si>
    <t>Australia/Lindeman</t>
  </si>
  <si>
    <t>Queensland - Holiday Islands</t>
  </si>
  <si>
    <t>Australia/Adelaide</t>
  </si>
  <si>
    <t>South Australia</t>
  </si>
  <si>
    <t>Australia/Darwin</t>
  </si>
  <si>
    <t>Northern Territory</t>
  </si>
  <si>
    <t>Australia/Perth</t>
  </si>
  <si>
    <t>Western Australia - most locations</t>
  </si>
  <si>
    <t>Australia/Eucla</t>
  </si>
  <si>
    <t>Western Australia - Eucla area</t>
  </si>
  <si>
    <t>UTC+08:45</t>
  </si>
  <si>
    <t>UTC+09:45</t>
  </si>
  <si>
    <t>AW</t>
  </si>
  <si>
    <t>America/Aruba</t>
  </si>
  <si>
    <t>AX</t>
  </si>
  <si>
    <t>Europe/Mariehamn</t>
  </si>
  <si>
    <t>AZ</t>
  </si>
  <si>
    <t>Asia/Baku</t>
  </si>
  <si>
    <t>BA</t>
  </si>
  <si>
    <t>Europe/Sarajevo</t>
  </si>
  <si>
    <t>BB</t>
  </si>
  <si>
    <t>America/Barbados</t>
  </si>
  <si>
    <t>BD</t>
  </si>
  <si>
    <t>Asia/Dhaka</t>
  </si>
  <si>
    <t>BE</t>
  </si>
  <si>
    <t>Europe/Brussels</t>
  </si>
  <si>
    <t>BF</t>
  </si>
  <si>
    <t>Africa/Ouagadougou</t>
  </si>
  <si>
    <t>BG</t>
  </si>
  <si>
    <t>Europe/Sofia</t>
  </si>
  <si>
    <t>BH</t>
  </si>
  <si>
    <t>Asia/Bahrain</t>
  </si>
  <si>
    <t>BI</t>
  </si>
  <si>
    <t>Africa/Bujumbura</t>
  </si>
  <si>
    <t>BJ</t>
  </si>
  <si>
    <t>Africa/Porto-Novo</t>
  </si>
  <si>
    <t>BL</t>
  </si>
  <si>
    <t>America/St_Barthelemy</t>
  </si>
  <si>
    <t>BM</t>
  </si>
  <si>
    <t>Atlantic/Bermuda</t>
  </si>
  <si>
    <t>BN</t>
  </si>
  <si>
    <t>Asia/Brunei</t>
  </si>
  <si>
    <t>BO</t>
  </si>
  <si>
    <t>America/La_Paz</t>
  </si>
  <si>
    <t>BR</t>
  </si>
  <si>
    <t>America/Noronha</t>
  </si>
  <si>
    <t>Atlantic islands</t>
  </si>
  <si>
    <t>America/Belem</t>
  </si>
  <si>
    <r>
      <t>Amapá</t>
    </r>
    <r>
      <rPr>
        <sz val="11"/>
        <color indexed="8"/>
        <rFont val="Calibri"/>
        <family val="2"/>
      </rPr>
      <t>, Eastern </t>
    </r>
    <r>
      <rPr>
        <sz val="11"/>
        <color indexed="18"/>
        <rFont val="Calibri"/>
        <family val="2"/>
      </rPr>
      <t>Pará</t>
    </r>
  </si>
  <si>
    <t>America/Fortaleza</t>
  </si>
  <si>
    <r>
      <t>NE Brazil</t>
    </r>
    <r>
      <rPr>
        <sz val="11"/>
        <color indexed="8"/>
        <rFont val="Calibri"/>
        <family val="2"/>
      </rPr>
      <t> (</t>
    </r>
    <r>
      <rPr>
        <sz val="11"/>
        <color indexed="18"/>
        <rFont val="Calibri"/>
        <family val="2"/>
      </rPr>
      <t>MA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PI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CE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RN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PB</t>
    </r>
    <r>
      <rPr>
        <sz val="11"/>
        <color indexed="8"/>
        <rFont val="Calibri"/>
        <family val="2"/>
      </rPr>
      <t>)</t>
    </r>
  </si>
  <si>
    <t>America/Recife</t>
  </si>
  <si>
    <t>Pernambuco</t>
  </si>
  <si>
    <t>America/Araguaina</t>
  </si>
  <si>
    <t>Tocantins</t>
  </si>
  <si>
    <t>America/Maceio</t>
  </si>
  <si>
    <r>
      <t>Alagoas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Sergipe</t>
    </r>
  </si>
  <si>
    <t>America/Bahia</t>
  </si>
  <si>
    <t>Bahia</t>
  </si>
  <si>
    <t>America/Sao_Paulo</t>
  </si>
  <si>
    <r>
      <t>South</t>
    </r>
    <r>
      <rPr>
        <sz val="11"/>
        <color indexed="8"/>
        <rFont val="Calibri"/>
        <family val="2"/>
      </rPr>
      <t> &amp; </t>
    </r>
    <r>
      <rPr>
        <sz val="11"/>
        <color indexed="18"/>
        <rFont val="Calibri"/>
        <family val="2"/>
      </rPr>
      <t>Southeast Brazil</t>
    </r>
    <r>
      <rPr>
        <sz val="11"/>
        <color indexed="8"/>
        <rFont val="Calibri"/>
        <family val="2"/>
      </rPr>
      <t> (</t>
    </r>
    <r>
      <rPr>
        <sz val="11"/>
        <color indexed="18"/>
        <rFont val="Calibri"/>
        <family val="2"/>
      </rPr>
      <t>GO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DF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MG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ES</t>
    </r>
    <r>
      <rPr>
        <sz val="11"/>
        <color indexed="8"/>
        <rFont val="Calibri"/>
        <family val="2"/>
      </rPr>
      <t>,</t>
    </r>
    <r>
      <rPr>
        <sz val="11"/>
        <color indexed="18"/>
        <rFont val="Calibri"/>
        <family val="2"/>
      </rPr>
      <t>RJ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SP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PR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SC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RS</t>
    </r>
    <r>
      <rPr>
        <sz val="11"/>
        <color indexed="8"/>
        <rFont val="Calibri"/>
        <family val="2"/>
      </rPr>
      <t>)</t>
    </r>
  </si>
  <si>
    <t>America/Campo_Grande</t>
  </si>
  <si>
    <t>Mato Grosso do Sul</t>
  </si>
  <si>
    <t>America/Cuiaba</t>
  </si>
  <si>
    <t>Mato Grosso</t>
  </si>
  <si>
    <t>America/Santarem</t>
  </si>
  <si>
    <t>Western Pará</t>
  </si>
  <si>
    <t>America/Porto_Velho</t>
  </si>
  <si>
    <t>Rondonia</t>
  </si>
  <si>
    <t>America/Boa_Vista</t>
  </si>
  <si>
    <t>Roraima</t>
  </si>
  <si>
    <t>America/Manaus</t>
  </si>
  <si>
    <t>Eastern Amazonas</t>
  </si>
  <si>
    <t>America/Eirunepe</t>
  </si>
  <si>
    <t>Western Amazonas</t>
  </si>
  <si>
    <t>America/Rio_Branco</t>
  </si>
  <si>
    <t>Acre</t>
  </si>
  <si>
    <t>BS</t>
  </si>
  <si>
    <t>America/Nassau</t>
  </si>
  <si>
    <t>UTC-05</t>
  </si>
  <si>
    <t>BT</t>
  </si>
  <si>
    <t>Asia/Thimphu</t>
  </si>
  <si>
    <t>BW</t>
  </si>
  <si>
    <t>Africa/Gaborone</t>
  </si>
  <si>
    <t>BY</t>
  </si>
  <si>
    <t>Europe/Minsk</t>
  </si>
  <si>
    <t>BZ</t>
  </si>
  <si>
    <t>America/Belize</t>
  </si>
  <si>
    <t>UTC-06</t>
  </si>
  <si>
    <t>CA</t>
  </si>
  <si>
    <t>America/St_Johns</t>
  </si>
  <si>
    <r>
      <t>Newfoundland Time</t>
    </r>
    <r>
      <rPr>
        <sz val="11"/>
        <color indexed="8"/>
        <rFont val="Calibri"/>
        <family val="2"/>
      </rPr>
      <t>, including Southeastern</t>
    </r>
    <r>
      <rPr>
        <sz val="11"/>
        <color indexed="18"/>
        <rFont val="Calibri"/>
        <family val="2"/>
      </rPr>
      <t>Labrador</t>
    </r>
  </si>
  <si>
    <t>UTC-03:30</t>
  </si>
  <si>
    <t>UTC-02:30</t>
  </si>
  <si>
    <t>America/Halifax</t>
  </si>
  <si>
    <r>
      <t>Atlantic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Nova Scotia</t>
    </r>
    <r>
      <rPr>
        <sz val="11"/>
        <color indexed="8"/>
        <rFont val="Calibri"/>
        <family val="2"/>
      </rPr>
      <t> (most places),</t>
    </r>
    <r>
      <rPr>
        <sz val="11"/>
        <color indexed="18"/>
        <rFont val="Calibri"/>
        <family val="2"/>
      </rPr>
      <t>Prince Edward Island</t>
    </r>
  </si>
  <si>
    <t>America/Glace_Bay</t>
  </si>
  <si>
    <r>
      <t>Atlantic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Nova Scotia</t>
    </r>
    <r>
      <rPr>
        <sz val="11"/>
        <color indexed="8"/>
        <rFont val="Calibri"/>
        <family val="2"/>
      </rPr>
      <t> - places that did not observe </t>
    </r>
    <r>
      <rPr>
        <sz val="11"/>
        <color indexed="18"/>
        <rFont val="Calibri"/>
        <family val="2"/>
      </rPr>
      <t>daylight saving time</t>
    </r>
    <r>
      <rPr>
        <sz val="11"/>
        <color indexed="8"/>
        <rFont val="Calibri"/>
        <family val="2"/>
      </rPr>
      <t> 1966-1971</t>
    </r>
  </si>
  <si>
    <t>America/Moncton</t>
  </si>
  <si>
    <r>
      <t>Atlantic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New Brunswick</t>
    </r>
  </si>
  <si>
    <t>America/Goose_Bay</t>
  </si>
  <si>
    <r>
      <t>Atlantic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Labrador</t>
    </r>
    <r>
      <rPr>
        <sz val="11"/>
        <color indexed="8"/>
        <rFont val="Calibri"/>
        <family val="2"/>
      </rPr>
      <t> - most locations</t>
    </r>
  </si>
  <si>
    <t>America/Blanc-Sablon</t>
  </si>
  <si>
    <r>
      <t>Atlantic Standard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Quebec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Lower North Shore</t>
    </r>
  </si>
  <si>
    <t>America/Montreal</t>
  </si>
  <si>
    <r>
      <t>Eastern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Quebec</t>
    </r>
    <r>
      <rPr>
        <sz val="11"/>
        <color indexed="8"/>
        <rFont val="Calibri"/>
        <family val="2"/>
      </rPr>
      <t> - most locations</t>
    </r>
  </si>
  <si>
    <t>America/Toronto</t>
  </si>
  <si>
    <r>
      <t>Eastern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Ontario</t>
    </r>
    <r>
      <rPr>
        <sz val="11"/>
        <color indexed="8"/>
        <rFont val="Calibri"/>
        <family val="2"/>
      </rPr>
      <t> - most locations</t>
    </r>
  </si>
  <si>
    <t>America/Nipigon</t>
  </si>
  <si>
    <r>
      <t>Eastern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Ontario</t>
    </r>
    <r>
      <rPr>
        <sz val="11"/>
        <color indexed="8"/>
        <rFont val="Calibri"/>
        <family val="2"/>
      </rPr>
      <t> &amp; </t>
    </r>
    <r>
      <rPr>
        <sz val="11"/>
        <color indexed="18"/>
        <rFont val="Calibri"/>
        <family val="2"/>
      </rPr>
      <t>Quebec</t>
    </r>
    <r>
      <rPr>
        <sz val="11"/>
        <color indexed="8"/>
        <rFont val="Calibri"/>
        <family val="2"/>
      </rPr>
      <t> - places that did not observe </t>
    </r>
    <r>
      <rPr>
        <sz val="11"/>
        <color indexed="18"/>
        <rFont val="Calibri"/>
        <family val="2"/>
      </rPr>
      <t>daylight saving time</t>
    </r>
    <r>
      <rPr>
        <sz val="11"/>
        <color indexed="8"/>
        <rFont val="Calibri"/>
        <family val="2"/>
      </rPr>
      <t> 1967-1973</t>
    </r>
  </si>
  <si>
    <t>America/Thunder_Bay</t>
  </si>
  <si>
    <r>
      <t>Eastern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Thunder Bay, Ontario</t>
    </r>
  </si>
  <si>
    <t>America/Iqaluit</t>
  </si>
  <si>
    <r>
      <t>Eastern Time</t>
    </r>
    <r>
      <rPr>
        <sz val="11"/>
        <color indexed="8"/>
        <rFont val="Calibri"/>
        <family val="2"/>
      </rPr>
      <t> - east </t>
    </r>
    <r>
      <rPr>
        <sz val="11"/>
        <color indexed="18"/>
        <rFont val="Calibri"/>
        <family val="2"/>
      </rPr>
      <t>Nunavut</t>
    </r>
    <r>
      <rPr>
        <sz val="11"/>
        <color indexed="8"/>
        <rFont val="Calibri"/>
        <family val="2"/>
      </rPr>
      <t> - most locations</t>
    </r>
  </si>
  <si>
    <t>America/Pangnirtung</t>
  </si>
  <si>
    <r>
      <t>Eastern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Pangnirtung, Nunavut</t>
    </r>
  </si>
  <si>
    <t>America/Resolute</t>
  </si>
  <si>
    <r>
      <t>Eastern Standard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Resolute, Nunavut</t>
    </r>
  </si>
  <si>
    <t>America/Atikokan</t>
  </si>
  <si>
    <r>
      <t>Eastern Standard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Atikokan, Ontario</t>
    </r>
    <r>
      <rPr>
        <sz val="11"/>
        <color indexed="8"/>
        <rFont val="Calibri"/>
        <family val="2"/>
      </rPr>
      <t> and</t>
    </r>
    <r>
      <rPr>
        <sz val="11"/>
        <color indexed="18"/>
        <rFont val="Calibri"/>
        <family val="2"/>
      </rPr>
      <t>Southampton Island, Nunavut</t>
    </r>
  </si>
  <si>
    <t>America/Rankin_Inlet</t>
  </si>
  <si>
    <r>
      <t>Central Time</t>
    </r>
    <r>
      <rPr>
        <sz val="11"/>
        <color indexed="8"/>
        <rFont val="Calibri"/>
        <family val="2"/>
      </rPr>
      <t> - central </t>
    </r>
    <r>
      <rPr>
        <sz val="11"/>
        <color indexed="18"/>
        <rFont val="Calibri"/>
        <family val="2"/>
      </rPr>
      <t>Nunavut</t>
    </r>
  </si>
  <si>
    <t>America/Winnipeg</t>
  </si>
  <si>
    <r>
      <t>Central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Manitoba</t>
    </r>
    <r>
      <rPr>
        <sz val="11"/>
        <color indexed="8"/>
        <rFont val="Calibri"/>
        <family val="2"/>
      </rPr>
      <t> &amp; west </t>
    </r>
    <r>
      <rPr>
        <sz val="11"/>
        <color indexed="18"/>
        <rFont val="Calibri"/>
        <family val="2"/>
      </rPr>
      <t>Ontario</t>
    </r>
  </si>
  <si>
    <t>America/Rainy_River</t>
  </si>
  <si>
    <r>
      <t>Central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Rainy River</t>
    </r>
    <r>
      <rPr>
        <sz val="11"/>
        <color indexed="8"/>
        <rFont val="Calibri"/>
        <family val="2"/>
      </rPr>
      <t> &amp; </t>
    </r>
    <r>
      <rPr>
        <sz val="11"/>
        <color indexed="18"/>
        <rFont val="Calibri"/>
        <family val="2"/>
      </rPr>
      <t>Fort Frances, Ontario</t>
    </r>
  </si>
  <si>
    <t>America/Regina</t>
  </si>
  <si>
    <r>
      <t>Central Standard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Saskatchewan</t>
    </r>
    <r>
      <rPr>
        <sz val="11"/>
        <color indexed="8"/>
        <rFont val="Calibri"/>
        <family val="2"/>
      </rPr>
      <t> - most locations</t>
    </r>
  </si>
  <si>
    <t>America/Swift_Current</t>
  </si>
  <si>
    <r>
      <t>Central Standard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Saskatchewan</t>
    </r>
    <r>
      <rPr>
        <sz val="11"/>
        <color indexed="8"/>
        <rFont val="Calibri"/>
        <family val="2"/>
      </rPr>
      <t> - midwest</t>
    </r>
  </si>
  <si>
    <t>America/Edmonton</t>
  </si>
  <si>
    <r>
      <t>Mountain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Alberta</t>
    </r>
    <r>
      <rPr>
        <sz val="11"/>
        <color indexed="8"/>
        <rFont val="Calibri"/>
        <family val="2"/>
      </rPr>
      <t>, east </t>
    </r>
    <r>
      <rPr>
        <sz val="11"/>
        <color indexed="18"/>
        <rFont val="Calibri"/>
        <family val="2"/>
      </rPr>
      <t>British Columbia</t>
    </r>
    <r>
      <rPr>
        <sz val="11"/>
        <color indexed="8"/>
        <rFont val="Calibri"/>
        <family val="2"/>
      </rPr>
      <t>&amp; west </t>
    </r>
    <r>
      <rPr>
        <sz val="11"/>
        <color indexed="18"/>
        <rFont val="Calibri"/>
        <family val="2"/>
      </rPr>
      <t>Saskatchewan</t>
    </r>
  </si>
  <si>
    <t>UTC-07</t>
  </si>
  <si>
    <t>America/Cambridge_Bay</t>
  </si>
  <si>
    <r>
      <t>Mountain Time</t>
    </r>
    <r>
      <rPr>
        <sz val="11"/>
        <color indexed="8"/>
        <rFont val="Calibri"/>
        <family val="2"/>
      </rPr>
      <t> - west </t>
    </r>
    <r>
      <rPr>
        <sz val="11"/>
        <color indexed="18"/>
        <rFont val="Calibri"/>
        <family val="2"/>
      </rPr>
      <t>Nunavut</t>
    </r>
  </si>
  <si>
    <t>America/Yellowknife</t>
  </si>
  <si>
    <r>
      <t>Mountain Time</t>
    </r>
    <r>
      <rPr>
        <sz val="11"/>
        <color indexed="8"/>
        <rFont val="Calibri"/>
        <family val="2"/>
      </rPr>
      <t> - central </t>
    </r>
    <r>
      <rPr>
        <sz val="11"/>
        <color indexed="18"/>
        <rFont val="Calibri"/>
        <family val="2"/>
      </rPr>
      <t>Northwest Territories</t>
    </r>
  </si>
  <si>
    <t>America/Inuvik</t>
  </si>
  <si>
    <r>
      <t>Mountain Time</t>
    </r>
    <r>
      <rPr>
        <sz val="11"/>
        <color indexed="8"/>
        <rFont val="Calibri"/>
        <family val="2"/>
      </rPr>
      <t> - west </t>
    </r>
    <r>
      <rPr>
        <sz val="11"/>
        <color indexed="18"/>
        <rFont val="Calibri"/>
        <family val="2"/>
      </rPr>
      <t>Northwest Territories</t>
    </r>
  </si>
  <si>
    <t>America/Dawson_Creek</t>
  </si>
  <si>
    <r>
      <t>Mountain Standard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Dawson Creek</t>
    </r>
    <r>
      <rPr>
        <sz val="11"/>
        <color indexed="8"/>
        <rFont val="Calibri"/>
        <family val="2"/>
      </rPr>
      <t> &amp; </t>
    </r>
    <r>
      <rPr>
        <sz val="11"/>
        <color indexed="18"/>
        <rFont val="Calibri"/>
        <family val="2"/>
      </rPr>
      <t>Fort Saint John, British Columbia</t>
    </r>
  </si>
  <si>
    <t>America/Vancouver</t>
  </si>
  <si>
    <r>
      <t>Pacific Time</t>
    </r>
    <r>
      <rPr>
        <sz val="11"/>
        <color indexed="8"/>
        <rFont val="Calibri"/>
        <family val="2"/>
      </rPr>
      <t> - west </t>
    </r>
    <r>
      <rPr>
        <sz val="11"/>
        <color indexed="18"/>
        <rFont val="Calibri"/>
        <family val="2"/>
      </rPr>
      <t>British Columbia</t>
    </r>
  </si>
  <si>
    <t>UTC-08</t>
  </si>
  <si>
    <t>America/Whitehorse</t>
  </si>
  <si>
    <r>
      <t>Pacific Time</t>
    </r>
    <r>
      <rPr>
        <sz val="11"/>
        <color indexed="8"/>
        <rFont val="Calibri"/>
        <family val="2"/>
      </rPr>
      <t> - south </t>
    </r>
    <r>
      <rPr>
        <sz val="11"/>
        <color indexed="18"/>
        <rFont val="Calibri"/>
        <family val="2"/>
      </rPr>
      <t>Yukon</t>
    </r>
  </si>
  <si>
    <t>America/Dawson</t>
  </si>
  <si>
    <r>
      <t>Pacific Time</t>
    </r>
    <r>
      <rPr>
        <sz val="11"/>
        <color indexed="8"/>
        <rFont val="Calibri"/>
        <family val="2"/>
      </rPr>
      <t> - north </t>
    </r>
    <r>
      <rPr>
        <sz val="11"/>
        <color indexed="18"/>
        <rFont val="Calibri"/>
        <family val="2"/>
      </rPr>
      <t>Yukon</t>
    </r>
  </si>
  <si>
    <t>CC</t>
  </si>
  <si>
    <t>Indian/Cocos</t>
  </si>
  <si>
    <t>UTC+06:30</t>
  </si>
  <si>
    <t>CD</t>
  </si>
  <si>
    <t>Africa/Kinshasa</t>
  </si>
  <si>
    <t>west Dem. Rep. of the Congo</t>
  </si>
  <si>
    <t>Africa/Lubumbashi</t>
  </si>
  <si>
    <t>east Dem. Rep. of the Congo</t>
  </si>
  <si>
    <t>CF</t>
  </si>
  <si>
    <t>Africa/Bangui</t>
  </si>
  <si>
    <t>CG</t>
  </si>
  <si>
    <t>Africa/Brazzaville</t>
  </si>
  <si>
    <t>CH</t>
  </si>
  <si>
    <t>Europe/Zurich</t>
  </si>
  <si>
    <t>CI</t>
  </si>
  <si>
    <t>Africa/Abidjan</t>
  </si>
  <si>
    <t>CK</t>
  </si>
  <si>
    <t>Pacific/Rarotonga</t>
  </si>
  <si>
    <t>UTC-10</t>
  </si>
  <si>
    <t>CL</t>
  </si>
  <si>
    <t>America/Santiago</t>
  </si>
  <si>
    <t>Chile - most locations</t>
  </si>
  <si>
    <t>Pacific/Easter</t>
  </si>
  <si>
    <r>
      <t>Easter Island</t>
    </r>
    <r>
      <rPr>
        <sz val="11"/>
        <color indexed="8"/>
        <rFont val="Calibri"/>
        <family val="2"/>
      </rPr>
      <t> &amp; </t>
    </r>
    <r>
      <rPr>
        <sz val="11"/>
        <color indexed="18"/>
        <rFont val="Calibri"/>
        <family val="2"/>
      </rPr>
      <t>Sala y Gomez</t>
    </r>
  </si>
  <si>
    <t>CM</t>
  </si>
  <si>
    <t>Africa/Douala</t>
  </si>
  <si>
    <t>CN</t>
  </si>
  <si>
    <t>Asia/Shanghai</t>
  </si>
  <si>
    <r>
      <t>east China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Beijing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Guangdong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Shanghai</t>
    </r>
    <r>
      <rPr>
        <sz val="11"/>
        <color indexed="8"/>
        <rFont val="Calibri"/>
        <family val="2"/>
      </rPr>
      <t>, etc.</t>
    </r>
  </si>
  <si>
    <t>Asia/Harbin</t>
  </si>
  <si>
    <r>
      <t>Heilongjiang</t>
    </r>
    <r>
      <rPr>
        <sz val="11"/>
        <color indexed="8"/>
        <rFont val="Calibri"/>
        <family val="2"/>
      </rPr>
      <t> (except </t>
    </r>
    <r>
      <rPr>
        <sz val="11"/>
        <color indexed="18"/>
        <rFont val="Calibri"/>
        <family val="2"/>
      </rPr>
      <t>Mohe</t>
    </r>
    <r>
      <rPr>
        <sz val="11"/>
        <color indexed="8"/>
        <rFont val="Calibri"/>
        <family val="2"/>
      </rPr>
      <t>), </t>
    </r>
    <r>
      <rPr>
        <sz val="11"/>
        <color indexed="18"/>
        <rFont val="Calibri"/>
        <family val="2"/>
      </rPr>
      <t>Jilin</t>
    </r>
  </si>
  <si>
    <t>Asia/Chongqing</t>
  </si>
  <si>
    <r>
      <t>central China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Sichuan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Yunnan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Guangxi</t>
    </r>
    <r>
      <rPr>
        <sz val="11"/>
        <color indexed="8"/>
        <rFont val="Calibri"/>
        <family val="2"/>
      </rPr>
      <t>,</t>
    </r>
    <r>
      <rPr>
        <sz val="11"/>
        <color indexed="18"/>
        <rFont val="Calibri"/>
        <family val="2"/>
      </rPr>
      <t>Shaanxi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Guizhou</t>
    </r>
    <r>
      <rPr>
        <sz val="11"/>
        <color indexed="8"/>
        <rFont val="Calibri"/>
        <family val="2"/>
      </rPr>
      <t>, etc.</t>
    </r>
  </si>
  <si>
    <t>Asia/Urumqi</t>
  </si>
  <si>
    <r>
      <t>most of </t>
    </r>
    <r>
      <rPr>
        <sz val="11"/>
        <color indexed="18"/>
        <rFont val="Calibri"/>
        <family val="2"/>
      </rPr>
      <t>Tibet</t>
    </r>
    <r>
      <rPr>
        <sz val="11"/>
        <color indexed="8"/>
        <rFont val="Calibri"/>
        <family val="2"/>
      </rPr>
      <t> &amp; </t>
    </r>
    <r>
      <rPr>
        <sz val="11"/>
        <color indexed="18"/>
        <rFont val="Calibri"/>
        <family val="2"/>
      </rPr>
      <t>Xinjiang</t>
    </r>
  </si>
  <si>
    <t>Asia/Kashgar</t>
  </si>
  <si>
    <r>
      <t>west </t>
    </r>
    <r>
      <rPr>
        <sz val="11"/>
        <color indexed="18"/>
        <rFont val="Calibri"/>
        <family val="2"/>
      </rPr>
      <t>Tibet</t>
    </r>
    <r>
      <rPr>
        <sz val="11"/>
        <color indexed="8"/>
        <rFont val="Calibri"/>
        <family val="2"/>
      </rPr>
      <t> &amp; </t>
    </r>
    <r>
      <rPr>
        <sz val="11"/>
        <color indexed="18"/>
        <rFont val="Calibri"/>
        <family val="2"/>
      </rPr>
      <t>Xinjiang</t>
    </r>
  </si>
  <si>
    <t>CO</t>
  </si>
  <si>
    <t>America/Bogota</t>
  </si>
  <si>
    <t>CR</t>
  </si>
  <si>
    <t>America/Costa_Rica</t>
  </si>
  <si>
    <t>CU</t>
  </si>
  <si>
    <t>America/Havana</t>
  </si>
  <si>
    <t>CV</t>
  </si>
  <si>
    <t>Atlantic/Cape_Verde</t>
  </si>
  <si>
    <t>UTC-01</t>
  </si>
  <si>
    <t>CX</t>
  </si>
  <si>
    <t>Indian/Christmas</t>
  </si>
  <si>
    <t>CY</t>
  </si>
  <si>
    <t>Asia/Nicosia</t>
  </si>
  <si>
    <t>CZ</t>
  </si>
  <si>
    <t>Europe/Prague</t>
  </si>
  <si>
    <t>DE</t>
  </si>
  <si>
    <t>Europe/Berlin</t>
  </si>
  <si>
    <t>DJ</t>
  </si>
  <si>
    <t>Africa/Djibouti</t>
  </si>
  <si>
    <t>DK</t>
  </si>
  <si>
    <t>Europe/Copenhagen</t>
  </si>
  <si>
    <t>DM</t>
  </si>
  <si>
    <t>America/Dominica</t>
  </si>
  <si>
    <t>DO</t>
  </si>
  <si>
    <t>America/Santo_Domingo</t>
  </si>
  <si>
    <t>DZ</t>
  </si>
  <si>
    <t>Africa/Algiers</t>
  </si>
  <si>
    <t>EC</t>
  </si>
  <si>
    <t>America/Guayaquil</t>
  </si>
  <si>
    <t>mainland</t>
  </si>
  <si>
    <t>Pacific/Galapagos</t>
  </si>
  <si>
    <t>Galapagos Islands</t>
  </si>
  <si>
    <t>EE</t>
  </si>
  <si>
    <t>Europe/Tallinn</t>
  </si>
  <si>
    <t>EG</t>
  </si>
  <si>
    <t>Africa/Cairo</t>
  </si>
  <si>
    <t>EH</t>
  </si>
  <si>
    <t>Africa/El_Aaiun</t>
  </si>
  <si>
    <t>ER</t>
  </si>
  <si>
    <t>Africa/Asmara</t>
  </si>
  <si>
    <t>ES</t>
  </si>
  <si>
    <t>Europe/Madrid</t>
  </si>
  <si>
    <t>Africa/Ceuta</t>
  </si>
  <si>
    <r>
      <t>Ceuta</t>
    </r>
    <r>
      <rPr>
        <sz val="11"/>
        <color indexed="8"/>
        <rFont val="Calibri"/>
        <family val="2"/>
      </rPr>
      <t> &amp; </t>
    </r>
    <r>
      <rPr>
        <sz val="11"/>
        <color indexed="18"/>
        <rFont val="Calibri"/>
        <family val="2"/>
      </rPr>
      <t>Melilla</t>
    </r>
  </si>
  <si>
    <t>Atlantic/Canary</t>
  </si>
  <si>
    <t>Canary Islands</t>
  </si>
  <si>
    <t>ET</t>
  </si>
  <si>
    <t>Africa/Addis_Ababa</t>
  </si>
  <si>
    <t>FI</t>
  </si>
  <si>
    <t>Europe/Helsinki</t>
  </si>
  <si>
    <t>FJ</t>
  </si>
  <si>
    <t>Pacific/Fiji</t>
  </si>
  <si>
    <t>FK</t>
  </si>
  <si>
    <t>Atlantic/Stanley</t>
  </si>
  <si>
    <t>FM</t>
  </si>
  <si>
    <t>Pacific/Truk</t>
  </si>
  <si>
    <r>
      <t>Truk (Chuuk)</t>
    </r>
    <r>
      <rPr>
        <sz val="11"/>
        <color indexed="8"/>
        <rFont val="Calibri"/>
        <family val="2"/>
      </rPr>
      <t> and </t>
    </r>
    <r>
      <rPr>
        <sz val="11"/>
        <color indexed="18"/>
        <rFont val="Calibri"/>
        <family val="2"/>
      </rPr>
      <t>Yap</t>
    </r>
  </si>
  <si>
    <t>Pacific/Ponape</t>
  </si>
  <si>
    <t>Ponape (Pohnpei)</t>
  </si>
  <si>
    <t>Pacific/Kosrae</t>
  </si>
  <si>
    <t>Kosrae</t>
  </si>
  <si>
    <t>FO</t>
  </si>
  <si>
    <t>Atlantic/Faroe</t>
  </si>
  <si>
    <t>FR</t>
  </si>
  <si>
    <t>Europe/Paris</t>
  </si>
  <si>
    <t>GA</t>
  </si>
  <si>
    <t>Africa/Libreville</t>
  </si>
  <si>
    <t>GB</t>
  </si>
  <si>
    <t>Europe/London</t>
  </si>
  <si>
    <t>GD</t>
  </si>
  <si>
    <t>America/Grenada</t>
  </si>
  <si>
    <t>GE</t>
  </si>
  <si>
    <t>Asia/Tbilisi</t>
  </si>
  <si>
    <t>GF</t>
  </si>
  <si>
    <t>America/Cayenne</t>
  </si>
  <si>
    <t>GG</t>
  </si>
  <si>
    <t>Europe/Guernsey</t>
  </si>
  <si>
    <t>GH</t>
  </si>
  <si>
    <t>Africa/Accra</t>
  </si>
  <si>
    <t>GI</t>
  </si>
  <si>
    <t>Europe/Gibraltar</t>
  </si>
  <si>
    <t>GL</t>
  </si>
  <si>
    <t>America/Godthab</t>
  </si>
  <si>
    <t>most locations</t>
  </si>
  <si>
    <t>America/Danmarkshavn</t>
  </si>
  <si>
    <t>east coast, north of Scoresbysund</t>
  </si>
  <si>
    <t>America/Scoresbysund</t>
  </si>
  <si>
    <r>
      <t>Scoresbysund</t>
    </r>
    <r>
      <rPr>
        <sz val="11"/>
        <color indexed="8"/>
        <rFont val="Calibri"/>
        <family val="2"/>
      </rPr>
      <t> / </t>
    </r>
    <r>
      <rPr>
        <sz val="11"/>
        <color indexed="18"/>
        <rFont val="Calibri"/>
        <family val="2"/>
      </rPr>
      <t>Ittoqqortoormiit</t>
    </r>
  </si>
  <si>
    <t>America/Thule</t>
  </si>
  <si>
    <r>
      <t>Thule</t>
    </r>
    <r>
      <rPr>
        <sz val="11"/>
        <color indexed="8"/>
        <rFont val="Calibri"/>
        <family val="2"/>
      </rPr>
      <t> / </t>
    </r>
    <r>
      <rPr>
        <sz val="11"/>
        <color indexed="18"/>
        <rFont val="Calibri"/>
        <family val="2"/>
      </rPr>
      <t>Pituffik</t>
    </r>
  </si>
  <si>
    <t>GM</t>
  </si>
  <si>
    <t>Africa/Banjul</t>
  </si>
  <si>
    <t>GN</t>
  </si>
  <si>
    <t>Africa/Conakry</t>
  </si>
  <si>
    <t>GP</t>
  </si>
  <si>
    <t>America/Guadeloupe</t>
  </si>
  <si>
    <t>GQ</t>
  </si>
  <si>
    <t>Africa/Malabo</t>
  </si>
  <si>
    <t>GR</t>
  </si>
  <si>
    <t>Europe/Athens</t>
  </si>
  <si>
    <t>GS</t>
  </si>
  <si>
    <t>Atlantic/South_Georgia</t>
  </si>
  <si>
    <t>GT</t>
  </si>
  <si>
    <t>America/Guatemala</t>
  </si>
  <si>
    <t>GU</t>
  </si>
  <si>
    <t>Pacific/Guam</t>
  </si>
  <si>
    <t>GW</t>
  </si>
  <si>
    <t>Africa/Bissau</t>
  </si>
  <si>
    <t>GY</t>
  </si>
  <si>
    <t>America/Guyana</t>
  </si>
  <si>
    <t>HK</t>
  </si>
  <si>
    <t>Asia/Hong_Kong</t>
  </si>
  <si>
    <t>HN</t>
  </si>
  <si>
    <t>America/Tegucigalpa</t>
  </si>
  <si>
    <t>HR</t>
  </si>
  <si>
    <t>Europe/Zagreb</t>
  </si>
  <si>
    <t>HT</t>
  </si>
  <si>
    <t>America/Port-au-Prince</t>
  </si>
  <si>
    <t>HU</t>
  </si>
  <si>
    <t>Europe/Budapest</t>
  </si>
  <si>
    <t>ID</t>
  </si>
  <si>
    <t>Asia/Jakarta</t>
  </si>
  <si>
    <r>
      <t>Java</t>
    </r>
    <r>
      <rPr>
        <sz val="11"/>
        <color indexed="8"/>
        <rFont val="Calibri"/>
        <family val="2"/>
      </rPr>
      <t> &amp; </t>
    </r>
    <r>
      <rPr>
        <sz val="11"/>
        <color indexed="18"/>
        <rFont val="Calibri"/>
        <family val="2"/>
      </rPr>
      <t>Sumatra</t>
    </r>
  </si>
  <si>
    <t>Asia/Pontianak</t>
  </si>
  <si>
    <t>west &amp; central Borneo</t>
  </si>
  <si>
    <t>Asia/Makassar</t>
  </si>
  <si>
    <r>
      <t>east &amp; </t>
    </r>
    <r>
      <rPr>
        <sz val="11"/>
        <color indexed="18"/>
        <rFont val="Calibri"/>
        <family val="2"/>
      </rPr>
      <t>south Borneo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Sulawesi</t>
    </r>
    <r>
      <rPr>
        <sz val="11"/>
        <color indexed="8"/>
        <rFont val="Calibri"/>
        <family val="2"/>
      </rPr>
      <t> (Celebes), </t>
    </r>
    <r>
      <rPr>
        <sz val="11"/>
        <color indexed="18"/>
        <rFont val="Calibri"/>
        <family val="2"/>
      </rPr>
      <t>Bali</t>
    </r>
    <r>
      <rPr>
        <sz val="11"/>
        <color indexed="8"/>
        <rFont val="Calibri"/>
        <family val="2"/>
      </rPr>
      <t>,</t>
    </r>
    <r>
      <rPr>
        <sz val="11"/>
        <color indexed="18"/>
        <rFont val="Calibri"/>
        <family val="2"/>
      </rPr>
      <t>Nusa Tenggara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west Timor</t>
    </r>
  </si>
  <si>
    <t>Asia/Jayapura</t>
  </si>
  <si>
    <r>
      <t>Western New Guinea</t>
    </r>
    <r>
      <rPr>
        <sz val="11"/>
        <color indexed="8"/>
        <rFont val="Calibri"/>
        <family val="2"/>
      </rPr>
      <t> (Irian Jaya) &amp; </t>
    </r>
    <r>
      <rPr>
        <sz val="11"/>
        <color indexed="18"/>
        <rFont val="Calibri"/>
        <family val="2"/>
      </rPr>
      <t>Maluku Islands</t>
    </r>
    <r>
      <rPr>
        <sz val="11"/>
        <color indexed="8"/>
        <rFont val="Calibri"/>
        <family val="2"/>
      </rPr>
      <t> (Moluccas)</t>
    </r>
  </si>
  <si>
    <t>UTC+09</t>
  </si>
  <si>
    <t>IE</t>
  </si>
  <si>
    <t>Europe/Dublin</t>
  </si>
  <si>
    <t>IL</t>
  </si>
  <si>
    <t>Asia/Jerusalem</t>
  </si>
  <si>
    <t>IM</t>
  </si>
  <si>
    <t>Europe/Isle_of_Man</t>
  </si>
  <si>
    <t>IN</t>
  </si>
  <si>
    <t>Asia/Kolkata</t>
  </si>
  <si>
    <t>UTC+05:30</t>
  </si>
  <si>
    <t>IO</t>
  </si>
  <si>
    <t>Indian/Chagos</t>
  </si>
  <si>
    <t>IQ</t>
  </si>
  <si>
    <t>Asia/Baghdad</t>
  </si>
  <si>
    <t>IR</t>
  </si>
  <si>
    <t>Asia/Tehran</t>
  </si>
  <si>
    <t>UTC+03:30</t>
  </si>
  <si>
    <t>IS</t>
  </si>
  <si>
    <t>Atlantic/Reykjavik</t>
  </si>
  <si>
    <t>IT</t>
  </si>
  <si>
    <t>Europe/Rome</t>
  </si>
  <si>
    <t>JE</t>
  </si>
  <si>
    <t>Europe/Jersey</t>
  </si>
  <si>
    <t>JM</t>
  </si>
  <si>
    <t>America/Jamaica</t>
  </si>
  <si>
    <t>JO</t>
  </si>
  <si>
    <t>Asia/Amman</t>
  </si>
  <si>
    <t>JP</t>
  </si>
  <si>
    <t>Asia/Tokyo</t>
  </si>
  <si>
    <t>KE</t>
  </si>
  <si>
    <t>Africa/Nairobi</t>
  </si>
  <si>
    <t>KG</t>
  </si>
  <si>
    <t>Asia/Bishkek</t>
  </si>
  <si>
    <t>KH</t>
  </si>
  <si>
    <t>Asia/Phnom_Penh</t>
  </si>
  <si>
    <t>KI</t>
  </si>
  <si>
    <t>Pacific/Tarawa</t>
  </si>
  <si>
    <t>Gilbert Islands</t>
  </si>
  <si>
    <t>Pacific/Enderbury</t>
  </si>
  <si>
    <t>Phoenix Islands</t>
  </si>
  <si>
    <t>Pacific/Kiritimati</t>
  </si>
  <si>
    <t>Line Islands</t>
  </si>
  <si>
    <t>UTC+14</t>
  </si>
  <si>
    <t>KM</t>
  </si>
  <si>
    <t>Indian/Comoro</t>
  </si>
  <si>
    <t>KN</t>
  </si>
  <si>
    <t>America/St_Kitts</t>
  </si>
  <si>
    <t>KP</t>
  </si>
  <si>
    <t>Asia/Pyongyang</t>
  </si>
  <si>
    <t>KR</t>
  </si>
  <si>
    <t>Asia/Seoul</t>
  </si>
  <si>
    <t>KW</t>
  </si>
  <si>
    <t>Asia/Kuwait</t>
  </si>
  <si>
    <t>KY</t>
  </si>
  <si>
    <t>America/Cayman</t>
  </si>
  <si>
    <t>KZ</t>
  </si>
  <si>
    <t>Asia/Almaty</t>
  </si>
  <si>
    <t>Asia/Qyzylorda</t>
  </si>
  <si>
    <t>Qyzylorda (Kyzylorda, Kzyl-Orda)</t>
  </si>
  <si>
    <t>Asia/Aqtobe</t>
  </si>
  <si>
    <t>Aqtobe (Aktobe)</t>
  </si>
  <si>
    <t>Asia/Aqtau</t>
  </si>
  <si>
    <r>
      <t>Atyrau (Atirau, Gur'yev)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Mangghystau (Mankistau)</t>
    </r>
  </si>
  <si>
    <t>Asia/Oral</t>
  </si>
  <si>
    <t>West Kazakhstan Province</t>
  </si>
  <si>
    <t>LA</t>
  </si>
  <si>
    <t>Asia/Vientiane</t>
  </si>
  <si>
    <t>LB</t>
  </si>
  <si>
    <t>Asia/Beirut</t>
  </si>
  <si>
    <t>LC</t>
  </si>
  <si>
    <t>America/St_Lucia</t>
  </si>
  <si>
    <t>LI</t>
  </si>
  <si>
    <t>Europe/Vaduz</t>
  </si>
  <si>
    <t>LK</t>
  </si>
  <si>
    <t>Asia/Colombo</t>
  </si>
  <si>
    <t>LR</t>
  </si>
  <si>
    <t>Africa/Monrovia</t>
  </si>
  <si>
    <t>LS</t>
  </si>
  <si>
    <t>Africa/Maseru</t>
  </si>
  <si>
    <t>LT</t>
  </si>
  <si>
    <t>Europe/Vilnius</t>
  </si>
  <si>
    <t>LU</t>
  </si>
  <si>
    <t>Europe/Luxembourg</t>
  </si>
  <si>
    <t>LV</t>
  </si>
  <si>
    <t>Europe/Riga</t>
  </si>
  <si>
    <t>LY</t>
  </si>
  <si>
    <t>Africa/Tripoli</t>
  </si>
  <si>
    <t>MA</t>
  </si>
  <si>
    <t>Africa/Casablanca</t>
  </si>
  <si>
    <t>MC</t>
  </si>
  <si>
    <t>Europe/Monaco</t>
  </si>
  <si>
    <t>MD</t>
  </si>
  <si>
    <t>Europe/Chisinau</t>
  </si>
  <si>
    <t>ME</t>
  </si>
  <si>
    <t>Europe/Podgorica</t>
  </si>
  <si>
    <t>MF</t>
  </si>
  <si>
    <t>America/Marigot</t>
  </si>
  <si>
    <t>MG</t>
  </si>
  <si>
    <t>Indian/Antananarivo</t>
  </si>
  <si>
    <t>MH</t>
  </si>
  <si>
    <t>Pacific/Majuro</t>
  </si>
  <si>
    <t>Pacific/Kwajalein</t>
  </si>
  <si>
    <t>Kwajalein</t>
  </si>
  <si>
    <t>MK</t>
  </si>
  <si>
    <t>Europe/Skopje</t>
  </si>
  <si>
    <t>ML</t>
  </si>
  <si>
    <t>Africa/Bamako</t>
  </si>
  <si>
    <t>MM</t>
  </si>
  <si>
    <t>Asia/Rangoon</t>
  </si>
  <si>
    <t>MN</t>
  </si>
  <si>
    <t>Asia/Ulaanbaatar</t>
  </si>
  <si>
    <t>Asia/Hovd</t>
  </si>
  <si>
    <r>
      <t>Bayan-Olgiy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Govi-Altai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Hovd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Uvs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Zavkhan</t>
    </r>
  </si>
  <si>
    <t>Asia/Choibalsan</t>
  </si>
  <si>
    <r>
      <t>Dornod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Sukhbaatar</t>
    </r>
  </si>
  <si>
    <t>MO</t>
  </si>
  <si>
    <t>Asia/Macau</t>
  </si>
  <si>
    <t>MP</t>
  </si>
  <si>
    <t>Pacific/Saipan</t>
  </si>
  <si>
    <t>MQ</t>
  </si>
  <si>
    <t>America/Martinique</t>
  </si>
  <si>
    <t>MR</t>
  </si>
  <si>
    <t>Africa/Nouakchott</t>
  </si>
  <si>
    <t>MS</t>
  </si>
  <si>
    <t>America/Montserrat</t>
  </si>
  <si>
    <t>MT</t>
  </si>
  <si>
    <t>Europe/Malta</t>
  </si>
  <si>
    <t>MU</t>
  </si>
  <si>
    <t>Indian/Mauritius</t>
  </si>
  <si>
    <t>MV</t>
  </si>
  <si>
    <t>Indian/Maldives</t>
  </si>
  <si>
    <t>MW</t>
  </si>
  <si>
    <t>Africa/Blantyre</t>
  </si>
  <si>
    <t>MX</t>
  </si>
  <si>
    <t>America/Mexico_City</t>
  </si>
  <si>
    <t>Central Time - most locations</t>
  </si>
  <si>
    <t>America/Cancun</t>
  </si>
  <si>
    <r>
      <t>Central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Quintana Roo</t>
    </r>
  </si>
  <si>
    <t>America/Merida</t>
  </si>
  <si>
    <r>
      <t>Central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Campeche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Yucatan</t>
    </r>
  </si>
  <si>
    <t>America/Monterrey</t>
  </si>
  <si>
    <r>
      <t>Mexican Central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Coahuila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Durango</t>
    </r>
    <r>
      <rPr>
        <sz val="11"/>
        <color indexed="8"/>
        <rFont val="Calibri"/>
        <family val="2"/>
      </rPr>
      <t>,</t>
    </r>
    <r>
      <rPr>
        <sz val="11"/>
        <color indexed="18"/>
        <rFont val="Calibri"/>
        <family val="2"/>
      </rPr>
      <t>Nuevo Leon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Tamaulipas</t>
    </r>
    <r>
      <rPr>
        <sz val="11"/>
        <color indexed="8"/>
        <rFont val="Calibri"/>
        <family val="2"/>
      </rPr>
      <t> away from US border</t>
    </r>
  </si>
  <si>
    <t>America/Matamoros</t>
  </si>
  <si>
    <r>
      <t>US </t>
    </r>
    <r>
      <rPr>
        <sz val="11"/>
        <color indexed="18"/>
        <rFont val="Calibri"/>
        <family val="2"/>
      </rPr>
      <t>Central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Coahuila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Durango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Nuevo Leon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Tamaulipas</t>
    </r>
    <r>
      <rPr>
        <sz val="11"/>
        <color indexed="8"/>
        <rFont val="Calibri"/>
        <family val="2"/>
      </rPr>
      <t> near US border</t>
    </r>
  </si>
  <si>
    <t>America/Mazatlan</t>
  </si>
  <si>
    <r>
      <t>Mountain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Baja California Sur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Nayarit</t>
    </r>
    <r>
      <rPr>
        <sz val="11"/>
        <color indexed="8"/>
        <rFont val="Calibri"/>
        <family val="2"/>
      </rPr>
      <t>,</t>
    </r>
    <r>
      <rPr>
        <sz val="11"/>
        <color indexed="18"/>
        <rFont val="Calibri"/>
        <family val="2"/>
      </rPr>
      <t>Sinaloa</t>
    </r>
  </si>
  <si>
    <t>America/Chihuahua</t>
  </si>
  <si>
    <r>
      <t>Mexican </t>
    </r>
    <r>
      <rPr>
        <sz val="11"/>
        <color indexed="18"/>
        <rFont val="Calibri"/>
        <family val="2"/>
      </rPr>
      <t>Mountain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Chihuahua</t>
    </r>
    <r>
      <rPr>
        <sz val="11"/>
        <color indexed="8"/>
        <rFont val="Calibri"/>
        <family val="2"/>
      </rPr>
      <t> away from US border</t>
    </r>
  </si>
  <si>
    <t>America/Ojinaga</t>
  </si>
  <si>
    <r>
      <t>US </t>
    </r>
    <r>
      <rPr>
        <sz val="11"/>
        <color indexed="18"/>
        <rFont val="Calibri"/>
        <family val="2"/>
      </rPr>
      <t>Mountain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Chihuahua</t>
    </r>
    <r>
      <rPr>
        <sz val="11"/>
        <color indexed="8"/>
        <rFont val="Calibri"/>
        <family val="2"/>
      </rPr>
      <t> near US border</t>
    </r>
  </si>
  <si>
    <t>America/Hermosillo</t>
  </si>
  <si>
    <r>
      <t>Mountain Standard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Sonora</t>
    </r>
  </si>
  <si>
    <t>America/Tijuana</t>
  </si>
  <si>
    <r>
      <t>US </t>
    </r>
    <r>
      <rPr>
        <sz val="11"/>
        <color indexed="18"/>
        <rFont val="Calibri"/>
        <family val="2"/>
      </rPr>
      <t>Pacific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Baja California</t>
    </r>
    <r>
      <rPr>
        <sz val="11"/>
        <color indexed="8"/>
        <rFont val="Calibri"/>
        <family val="2"/>
      </rPr>
      <t> near US border</t>
    </r>
  </si>
  <si>
    <t>America/Santa_Isabel</t>
  </si>
  <si>
    <r>
      <t>Mexican </t>
    </r>
    <r>
      <rPr>
        <sz val="11"/>
        <color indexed="18"/>
        <rFont val="Calibri"/>
        <family val="2"/>
      </rPr>
      <t>Pacific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Baja California</t>
    </r>
    <r>
      <rPr>
        <sz val="11"/>
        <color indexed="8"/>
        <rFont val="Calibri"/>
        <family val="2"/>
      </rPr>
      <t> away from US border</t>
    </r>
  </si>
  <si>
    <t>MY</t>
  </si>
  <si>
    <t>Asia/Kuala_Lumpur</t>
  </si>
  <si>
    <t>peninsular Malaysia</t>
  </si>
  <si>
    <t>Asia/Kuching</t>
  </si>
  <si>
    <t>Sabah &amp; Sarawak</t>
  </si>
  <si>
    <t>MZ</t>
  </si>
  <si>
    <t>Africa/Maputo</t>
  </si>
  <si>
    <t>NA</t>
  </si>
  <si>
    <t>Africa/Windhoek</t>
  </si>
  <si>
    <t>NC</t>
  </si>
  <si>
    <t>Pacific/Noumea</t>
  </si>
  <si>
    <t>NE</t>
  </si>
  <si>
    <t>Africa/Niamey</t>
  </si>
  <si>
    <t>NF</t>
  </si>
  <si>
    <t>Pacific/Norfolk</t>
  </si>
  <si>
    <t>UTC+11:30</t>
  </si>
  <si>
    <t>NG</t>
  </si>
  <si>
    <t>Africa/Lagos</t>
  </si>
  <si>
    <t>NI</t>
  </si>
  <si>
    <t>America/Managua</t>
  </si>
  <si>
    <t>NL</t>
  </si>
  <si>
    <t>Europe/Amsterdam</t>
  </si>
  <si>
    <t>NO</t>
  </si>
  <si>
    <t>Europe/Oslo</t>
  </si>
  <si>
    <t>NP</t>
  </si>
  <si>
    <t>Asia/Kathmandu</t>
  </si>
  <si>
    <t>UTC+05:45</t>
  </si>
  <si>
    <t>NR</t>
  </si>
  <si>
    <t>Pacific/Nauru</t>
  </si>
  <si>
    <t>NU</t>
  </si>
  <si>
    <t>Pacific/Niue</t>
  </si>
  <si>
    <t>NZ</t>
  </si>
  <si>
    <t>Pacific/Auckland</t>
  </si>
  <si>
    <t>Pacific/Chatham</t>
  </si>
  <si>
    <t>Chatham Islands</t>
  </si>
  <si>
    <t>UTC+12:45</t>
  </si>
  <si>
    <t>UTC+13:45</t>
  </si>
  <si>
    <t>OM</t>
  </si>
  <si>
    <t>Asia/Muscat</t>
  </si>
  <si>
    <t>PA</t>
  </si>
  <si>
    <t>America/Panama</t>
  </si>
  <si>
    <t>PE</t>
  </si>
  <si>
    <t>America/Lima</t>
  </si>
  <si>
    <t>PF</t>
  </si>
  <si>
    <t>Pacific/Tahiti</t>
  </si>
  <si>
    <t>Society Islands</t>
  </si>
  <si>
    <t>Pacific/Marquesas</t>
  </si>
  <si>
    <t>Marquesas Islands</t>
  </si>
  <si>
    <t>UTC-09:30</t>
  </si>
  <si>
    <t>Pacific/Gambier</t>
  </si>
  <si>
    <t>Gambier Islands</t>
  </si>
  <si>
    <t>UTC-09</t>
  </si>
  <si>
    <t>PG</t>
  </si>
  <si>
    <t>Pacific/Port_Moresby</t>
  </si>
  <si>
    <t>PH</t>
  </si>
  <si>
    <t>Asia/Manila</t>
  </si>
  <si>
    <t>PK</t>
  </si>
  <si>
    <t>Asia/Karachi</t>
  </si>
  <si>
    <t>PL</t>
  </si>
  <si>
    <t>Europe/Warsaw</t>
  </si>
  <si>
    <t>PM</t>
  </si>
  <si>
    <t>America/Miquelon</t>
  </si>
  <si>
    <t>PN</t>
  </si>
  <si>
    <t>Pacific/Pitcairn</t>
  </si>
  <si>
    <t>PR</t>
  </si>
  <si>
    <t>America/Puerto_Rico</t>
  </si>
  <si>
    <t>PS</t>
  </si>
  <si>
    <t>Asia/Gaza</t>
  </si>
  <si>
    <t>PT</t>
  </si>
  <si>
    <t>Europe/Lisbon</t>
  </si>
  <si>
    <t>Atlantic/Madeira</t>
  </si>
  <si>
    <t>Madeira Islands</t>
  </si>
  <si>
    <t>Atlantic/Azores</t>
  </si>
  <si>
    <t>Azores</t>
  </si>
  <si>
    <t>PW</t>
  </si>
  <si>
    <t>Pacific/Palau</t>
  </si>
  <si>
    <t>PY</t>
  </si>
  <si>
    <t>America/Asuncion</t>
  </si>
  <si>
    <t>QA</t>
  </si>
  <si>
    <t>Asia/Qatar</t>
  </si>
  <si>
    <t>RE</t>
  </si>
  <si>
    <t>Indian/Reunion</t>
  </si>
  <si>
    <t>RO</t>
  </si>
  <si>
    <t>Europe/Bucharest</t>
  </si>
  <si>
    <t>RS</t>
  </si>
  <si>
    <t>Europe/Belgrade</t>
  </si>
  <si>
    <t>RU</t>
  </si>
  <si>
    <t>Europe/Kaliningrad</t>
  </si>
  <si>
    <r>
      <t>Moscow-01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Kaliningrad</t>
    </r>
  </si>
  <si>
    <t>Europe/Moscow</t>
  </si>
  <si>
    <r>
      <t>Moscow+00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west Russia</t>
    </r>
  </si>
  <si>
    <t>Europe/Volgograd</t>
  </si>
  <si>
    <r>
      <t>Moscow+00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Caspian Sea</t>
    </r>
  </si>
  <si>
    <t>Europe/Samara</t>
  </si>
  <si>
    <r>
      <t>Moscow+00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Samara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Udmurtia</t>
    </r>
  </si>
  <si>
    <t>Asia/Yekaterinburg</t>
  </si>
  <si>
    <r>
      <t>Moscow+02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Urals</t>
    </r>
  </si>
  <si>
    <t>Asia/Omsk</t>
  </si>
  <si>
    <r>
      <t>Moscow+03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west Siberia</t>
    </r>
  </si>
  <si>
    <t>Asia/Novosibirsk</t>
  </si>
  <si>
    <r>
      <t>Moscow+03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Novosibirsk</t>
    </r>
  </si>
  <si>
    <t>Asia/Novokuznetsk</t>
  </si>
  <si>
    <r>
      <t>Moscow+03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Novokuznetsk</t>
    </r>
  </si>
  <si>
    <t>Asia/Krasnoyarsk</t>
  </si>
  <si>
    <r>
      <t>Moscow+04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Yenisei River</t>
    </r>
  </si>
  <si>
    <t>Asia/Irkutsk</t>
  </si>
  <si>
    <r>
      <t>Moscow+05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Lake Baikal</t>
    </r>
  </si>
  <si>
    <t>Asia/Yakutsk</t>
  </si>
  <si>
    <r>
      <t>Moscow+06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Lena River</t>
    </r>
  </si>
  <si>
    <t>Asia/Vladivostok</t>
  </si>
  <si>
    <r>
      <t>Moscow+07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Amur River</t>
    </r>
  </si>
  <si>
    <t>Asia/Sakhalin</t>
  </si>
  <si>
    <r>
      <t>Moscow+07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Sakhalin Island</t>
    </r>
  </si>
  <si>
    <t>Asia/Magadan</t>
  </si>
  <si>
    <r>
      <t>Moscow+08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Magadan</t>
    </r>
  </si>
  <si>
    <t>Asia/Kamchatka</t>
  </si>
  <si>
    <r>
      <t>Moscow+08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Kamchatka</t>
    </r>
  </si>
  <si>
    <t>Asia/Anadyr</t>
  </si>
  <si>
    <r>
      <t>Moscow+08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Bering Sea</t>
    </r>
  </si>
  <si>
    <t>RW</t>
  </si>
  <si>
    <t>Africa/Kigali</t>
  </si>
  <si>
    <t>SA</t>
  </si>
  <si>
    <t>Asia/Riyadh</t>
  </si>
  <si>
    <t>SB</t>
  </si>
  <si>
    <t>Pacific/Guadalcanal</t>
  </si>
  <si>
    <t>SC</t>
  </si>
  <si>
    <t>Indian/Mahe</t>
  </si>
  <si>
    <t>SD</t>
  </si>
  <si>
    <t>Africa/Khartoum</t>
  </si>
  <si>
    <t>SE</t>
  </si>
  <si>
    <t>Europe/Stockholm</t>
  </si>
  <si>
    <t>SG</t>
  </si>
  <si>
    <t>Asia/Singapore</t>
  </si>
  <si>
    <t>SH</t>
  </si>
  <si>
    <t>Atlantic/St_Helena</t>
  </si>
  <si>
    <r>
      <t>Ascension</t>
    </r>
    <r>
      <rPr>
        <sz val="11"/>
        <color indexed="8"/>
        <rFont val="Calibri"/>
        <family val="2"/>
      </rPr>
      <t> and </t>
    </r>
    <r>
      <rPr>
        <sz val="11"/>
        <color indexed="18"/>
        <rFont val="Calibri"/>
        <family val="2"/>
      </rPr>
      <t>Tristan da Cunha</t>
    </r>
  </si>
  <si>
    <t>SI</t>
  </si>
  <si>
    <t>Europe/Ljubljana</t>
  </si>
  <si>
    <t>SJ</t>
  </si>
  <si>
    <t>Arctic/Longyearbyen</t>
  </si>
  <si>
    <t>SK</t>
  </si>
  <si>
    <t>Europe/Bratislava</t>
  </si>
  <si>
    <t>SL</t>
  </si>
  <si>
    <t>Africa/Freetown</t>
  </si>
  <si>
    <t>SM</t>
  </si>
  <si>
    <t>Europe/San_Marino</t>
  </si>
  <si>
    <t>SN</t>
  </si>
  <si>
    <t>Africa/Dakar</t>
  </si>
  <si>
    <t>SO</t>
  </si>
  <si>
    <t>Africa/Mogadishu</t>
  </si>
  <si>
    <t>SR</t>
  </si>
  <si>
    <t>America/Paramaribo</t>
  </si>
  <si>
    <t>SS</t>
  </si>
  <si>
    <t>Africa/Juba</t>
  </si>
  <si>
    <t>ST</t>
  </si>
  <si>
    <t>Africa/Sao_Tome</t>
  </si>
  <si>
    <t>SV</t>
  </si>
  <si>
    <t>America/El_Salvador</t>
  </si>
  <si>
    <t>SY</t>
  </si>
  <si>
    <t>Asia/Damascus</t>
  </si>
  <si>
    <t>SZ</t>
  </si>
  <si>
    <t>Africa/Mbabane</t>
  </si>
  <si>
    <t>TC</t>
  </si>
  <si>
    <t>America/Grand_Turk</t>
  </si>
  <si>
    <t>TD</t>
  </si>
  <si>
    <t>Africa/Ndjamena</t>
  </si>
  <si>
    <t>TF</t>
  </si>
  <si>
    <t>Indian/Kerguelen</t>
  </si>
  <si>
    <t>TG</t>
  </si>
  <si>
    <t>Africa/Lome</t>
  </si>
  <si>
    <t>TH</t>
  </si>
  <si>
    <t>Asia/Bangkok</t>
  </si>
  <si>
    <t>TJ</t>
  </si>
  <si>
    <t>Asia/Dushanbe</t>
  </si>
  <si>
    <t>TK</t>
  </si>
  <si>
    <t>Pacific/Fakaofo</t>
  </si>
  <si>
    <t>TL</t>
  </si>
  <si>
    <t>Asia/Dili</t>
  </si>
  <si>
    <t>TM</t>
  </si>
  <si>
    <t>Asia/Ashgabat</t>
  </si>
  <si>
    <t>TN</t>
  </si>
  <si>
    <t>Africa/Tunis</t>
  </si>
  <si>
    <t>TO</t>
  </si>
  <si>
    <t>Pacific/Tongatapu</t>
  </si>
  <si>
    <t>TR</t>
  </si>
  <si>
    <t>Europe/Istanbul</t>
  </si>
  <si>
    <t>TT</t>
  </si>
  <si>
    <t>America/Port_of_Spain</t>
  </si>
  <si>
    <t>TV</t>
  </si>
  <si>
    <t>Pacific/Funafuti</t>
  </si>
  <si>
    <t>TW</t>
  </si>
  <si>
    <t>Asia/Taipei</t>
  </si>
  <si>
    <t>TZ</t>
  </si>
  <si>
    <t>Africa/Dar_es_Salaam</t>
  </si>
  <si>
    <t>UA</t>
  </si>
  <si>
    <t>Europe/Kiev</t>
  </si>
  <si>
    <t>Europe/Uzhgorod</t>
  </si>
  <si>
    <t>Ruthenia</t>
  </si>
  <si>
    <t>Europe/Zaporozhye</t>
  </si>
  <si>
    <r>
      <t>Zaporozh'ye</t>
    </r>
    <r>
      <rPr>
        <sz val="11"/>
        <color indexed="8"/>
        <rFont val="Calibri"/>
        <family val="2"/>
      </rPr>
      <t>, Eastern </t>
    </r>
    <r>
      <rPr>
        <sz val="11"/>
        <color indexed="18"/>
        <rFont val="Calibri"/>
        <family val="2"/>
      </rPr>
      <t>Lugansk</t>
    </r>
  </si>
  <si>
    <t>Europe/Simferopol</t>
  </si>
  <si>
    <t>central Crimea</t>
  </si>
  <si>
    <t>UG</t>
  </si>
  <si>
    <t>Africa/Kampala</t>
  </si>
  <si>
    <t>UM</t>
  </si>
  <si>
    <t>Pacific/Johnston</t>
  </si>
  <si>
    <t>Johnston Atoll</t>
  </si>
  <si>
    <t>Pacific/Midway</t>
  </si>
  <si>
    <t>Midway Islands</t>
  </si>
  <si>
    <t>Pacific/Wake</t>
  </si>
  <si>
    <t>Wake Island</t>
  </si>
  <si>
    <t>US</t>
  </si>
  <si>
    <t>America/New_York</t>
  </si>
  <si>
    <t>Eastern Time</t>
  </si>
  <si>
    <t>America/Detroit</t>
  </si>
  <si>
    <r>
      <t>Eastern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Michigan</t>
    </r>
    <r>
      <rPr>
        <sz val="11"/>
        <color indexed="8"/>
        <rFont val="Calibri"/>
        <family val="2"/>
      </rPr>
      <t> - most locations</t>
    </r>
  </si>
  <si>
    <t>America/Kentucky
/Louisville</t>
  </si>
  <si>
    <r>
      <t>Eastern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Kentucky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Louisville area</t>
    </r>
  </si>
  <si>
    <t>America/Kentucky
/Monticello</t>
  </si>
  <si>
    <r>
      <t>Eastern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Kentucky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Wayne County</t>
    </r>
  </si>
  <si>
    <t>America/Indiana
/Indianapolis</t>
  </si>
  <si>
    <r>
      <t>Eastern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Indiana</t>
    </r>
    <r>
      <rPr>
        <sz val="11"/>
        <color indexed="8"/>
        <rFont val="Calibri"/>
        <family val="2"/>
      </rPr>
      <t> - most locations</t>
    </r>
  </si>
  <si>
    <t>America/Indiana
/Vincennes</t>
  </si>
  <si>
    <r>
      <t>Eastern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Indiana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Daviess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Dubois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Knox</t>
    </r>
    <r>
      <rPr>
        <sz val="11"/>
        <color indexed="8"/>
        <rFont val="Calibri"/>
        <family val="2"/>
      </rPr>
      <t>&amp; </t>
    </r>
    <r>
      <rPr>
        <sz val="11"/>
        <color indexed="18"/>
        <rFont val="Calibri"/>
        <family val="2"/>
      </rPr>
      <t>Martin</t>
    </r>
    <r>
      <rPr>
        <sz val="11"/>
        <color indexed="8"/>
        <rFont val="Calibri"/>
        <family val="2"/>
      </rPr>
      <t> Counties</t>
    </r>
  </si>
  <si>
    <t>America/Indiana
/Winamac</t>
  </si>
  <si>
    <r>
      <t>Eastern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Indiana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Pulaski County</t>
    </r>
  </si>
  <si>
    <t>America/Indiana
/Marengo</t>
  </si>
  <si>
    <r>
      <t>Eastern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Indiana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Crawford County</t>
    </r>
  </si>
  <si>
    <t>America/Indiana
/Petersburg</t>
  </si>
  <si>
    <r>
      <t>Eastern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Indiana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Pike County</t>
    </r>
  </si>
  <si>
    <t>America/Indiana
/Vevay</t>
  </si>
  <si>
    <r>
      <t>Eastern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Indiana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Switzerland County</t>
    </r>
  </si>
  <si>
    <t>America/Chicago</t>
  </si>
  <si>
    <t>Central Time</t>
  </si>
  <si>
    <t>America/Indiana
/Tell_City</t>
  </si>
  <si>
    <r>
      <t>Central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Indiana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Perry County</t>
    </r>
  </si>
  <si>
    <t>America/Indiana
/Knox</t>
  </si>
  <si>
    <r>
      <t>Central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Indiana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Starke County</t>
    </r>
  </si>
  <si>
    <t>America/Menominee</t>
  </si>
  <si>
    <r>
      <t>Central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Michigan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Dickinson</t>
    </r>
    <r>
      <rPr>
        <sz val="11"/>
        <color indexed="8"/>
        <rFont val="Calibri"/>
        <family val="2"/>
      </rPr>
      <t>, </t>
    </r>
    <r>
      <rPr>
        <sz val="11"/>
        <color indexed="18"/>
        <rFont val="Calibri"/>
        <family val="2"/>
      </rPr>
      <t>Gogebic</t>
    </r>
    <r>
      <rPr>
        <sz val="11"/>
        <color indexed="8"/>
        <rFont val="Calibri"/>
        <family val="2"/>
      </rPr>
      <t>,</t>
    </r>
    <r>
      <rPr>
        <sz val="11"/>
        <color indexed="18"/>
        <rFont val="Calibri"/>
        <family val="2"/>
      </rPr>
      <t>Iron</t>
    </r>
    <r>
      <rPr>
        <sz val="11"/>
        <color indexed="8"/>
        <rFont val="Calibri"/>
        <family val="2"/>
      </rPr>
      <t> &amp; </t>
    </r>
    <r>
      <rPr>
        <sz val="11"/>
        <color indexed="18"/>
        <rFont val="Calibri"/>
        <family val="2"/>
      </rPr>
      <t>Menominee</t>
    </r>
    <r>
      <rPr>
        <sz val="11"/>
        <color indexed="8"/>
        <rFont val="Calibri"/>
        <family val="2"/>
      </rPr>
      <t> Counties</t>
    </r>
  </si>
  <si>
    <t>America/North_Dakota
/Center</t>
  </si>
  <si>
    <r>
      <t>Central Time</t>
    </r>
    <r>
      <rPr>
        <sz val="10"/>
        <color indexed="8"/>
        <rFont val="Calibri"/>
        <family val="2"/>
      </rPr>
      <t> - </t>
    </r>
    <r>
      <rPr>
        <sz val="10"/>
        <color indexed="18"/>
        <rFont val="Calibri"/>
        <family val="2"/>
      </rPr>
      <t>North Dakota</t>
    </r>
    <r>
      <rPr>
        <sz val="10"/>
        <color indexed="8"/>
        <rFont val="Calibri"/>
        <family val="2"/>
      </rPr>
      <t> - </t>
    </r>
    <r>
      <rPr>
        <sz val="10"/>
        <color indexed="18"/>
        <rFont val="Calibri"/>
        <family val="2"/>
      </rPr>
      <t>Oliver County</t>
    </r>
  </si>
  <si>
    <t>America/North_Dakota
/New_Salem</t>
  </si>
  <si>
    <r>
      <t>Central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North Dakota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Morton County</t>
    </r>
    <r>
      <rPr>
        <sz val="11"/>
        <color indexed="8"/>
        <rFont val="Calibri"/>
        <family val="2"/>
      </rPr>
      <t>(except </t>
    </r>
    <r>
      <rPr>
        <sz val="11"/>
        <color indexed="18"/>
        <rFont val="Calibri"/>
        <family val="2"/>
      </rPr>
      <t>Mandan</t>
    </r>
    <r>
      <rPr>
        <sz val="11"/>
        <color indexed="8"/>
        <rFont val="Calibri"/>
        <family val="2"/>
      </rPr>
      <t> area)</t>
    </r>
  </si>
  <si>
    <t>America/Denver</t>
  </si>
  <si>
    <t>Mountain Time</t>
  </si>
  <si>
    <t>America/Boise</t>
  </si>
  <si>
    <r>
      <t>Mountain Time</t>
    </r>
    <r>
      <rPr>
        <sz val="11"/>
        <color indexed="8"/>
        <rFont val="Calibri"/>
        <family val="2"/>
      </rPr>
      <t> - south </t>
    </r>
    <r>
      <rPr>
        <sz val="11"/>
        <color indexed="18"/>
        <rFont val="Calibri"/>
        <family val="2"/>
      </rPr>
      <t>Idaho</t>
    </r>
    <r>
      <rPr>
        <sz val="11"/>
        <color indexed="8"/>
        <rFont val="Calibri"/>
        <family val="2"/>
      </rPr>
      <t> &amp; east </t>
    </r>
    <r>
      <rPr>
        <sz val="11"/>
        <color indexed="18"/>
        <rFont val="Calibri"/>
        <family val="2"/>
      </rPr>
      <t>Oregon</t>
    </r>
  </si>
  <si>
    <t>America/Shiprock</t>
  </si>
  <si>
    <r>
      <t>Mountain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Navajo</t>
    </r>
  </si>
  <si>
    <t>America/Phoenix</t>
  </si>
  <si>
    <r>
      <t>Mountain Standard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Arizona</t>
    </r>
  </si>
  <si>
    <t>America/Los_Angeles</t>
  </si>
  <si>
    <t>Pacific Time</t>
  </si>
  <si>
    <t>America/Anchorage</t>
  </si>
  <si>
    <t>Alaska Time</t>
  </si>
  <si>
    <t>America/Juneau</t>
  </si>
  <si>
    <r>
      <t>Alaska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Alaska panhandle</t>
    </r>
  </si>
  <si>
    <t>America/Yakutat</t>
  </si>
  <si>
    <r>
      <t>Alaska Time</t>
    </r>
    <r>
      <rPr>
        <sz val="11"/>
        <color indexed="8"/>
        <rFont val="Calibri"/>
        <family val="2"/>
      </rPr>
      <t> - </t>
    </r>
    <r>
      <rPr>
        <sz val="11"/>
        <color indexed="18"/>
        <rFont val="Calibri"/>
        <family val="2"/>
      </rPr>
      <t>Alaska panhandle</t>
    </r>
    <r>
      <rPr>
        <sz val="11"/>
        <color indexed="8"/>
        <rFont val="Calibri"/>
        <family val="2"/>
      </rPr>
      <t> neck</t>
    </r>
  </si>
  <si>
    <t>America/Nome</t>
  </si>
  <si>
    <r>
      <t>Alaska Time</t>
    </r>
    <r>
      <rPr>
        <sz val="11"/>
        <color indexed="8"/>
        <rFont val="Calibri"/>
        <family val="2"/>
      </rPr>
      <t> - west </t>
    </r>
    <r>
      <rPr>
        <sz val="11"/>
        <color indexed="18"/>
        <rFont val="Calibri"/>
        <family val="2"/>
      </rPr>
      <t>Alaska</t>
    </r>
  </si>
  <si>
    <t>America/Adak</t>
  </si>
  <si>
    <t>Aleutian Islands</t>
  </si>
  <si>
    <t>Pacific/Honolulu</t>
  </si>
  <si>
    <t>Hawaii</t>
  </si>
  <si>
    <t>UY</t>
  </si>
  <si>
    <t>America/Montevideo</t>
  </si>
  <si>
    <t>UZ</t>
  </si>
  <si>
    <t>Asia/Samarkand</t>
  </si>
  <si>
    <t>west Uzbekistan</t>
  </si>
  <si>
    <t>Asia/Tashkent</t>
  </si>
  <si>
    <t>east Uzbekistan</t>
  </si>
  <si>
    <t>VA</t>
  </si>
  <si>
    <t>Europe/Vatican</t>
  </si>
  <si>
    <t>VC</t>
  </si>
  <si>
    <t>America/St_Vincent</t>
  </si>
  <si>
    <t>VE</t>
  </si>
  <si>
    <t>America/Caracas</t>
  </si>
  <si>
    <t>UTC-04:30</t>
  </si>
  <si>
    <t>VG</t>
  </si>
  <si>
    <t>America/Tortola</t>
  </si>
  <si>
    <t>VI</t>
  </si>
  <si>
    <t>America/St_Thomas</t>
  </si>
  <si>
    <t>VN</t>
  </si>
  <si>
    <t>Asia/Ho_Chi_Minh</t>
  </si>
  <si>
    <t>VU</t>
  </si>
  <si>
    <t>Pacific/Efate</t>
  </si>
  <si>
    <t>WF</t>
  </si>
  <si>
    <t>Pacific/Wallis</t>
  </si>
  <si>
    <t>WS</t>
  </si>
  <si>
    <t>Pacific/Apia</t>
  </si>
  <si>
    <t>YE</t>
  </si>
  <si>
    <t>Asia/Aden</t>
  </si>
  <si>
    <t>YT</t>
  </si>
  <si>
    <t>Indian/Mayotte</t>
  </si>
  <si>
    <t>ZA</t>
  </si>
  <si>
    <t>Africa/Johannesburg</t>
  </si>
  <si>
    <t>ZM</t>
  </si>
  <si>
    <t>Africa/Lusaka</t>
  </si>
  <si>
    <t>ZW</t>
  </si>
  <si>
    <t>Africa/Harare</t>
  </si>
  <si>
    <t>[edit]Number of zones per region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</si>
</sst>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1"/>
      <color indexed="18"/>
      <name val="Calibri"/>
      <family val="2"/>
    </font>
    <font>
      <sz val="10"/>
      <color indexed="1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vertical="center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3" fillId="3" borderId="1" xfId="0" applyFont="1" applyFill="1" applyBorder="1" applyAlignment="1">
      <alignment vertical="center" wrapText="1"/>
    </xf>
    <xf numFmtId="164" fontId="4" fillId="3" borderId="1" xfId="0" applyFont="1" applyFill="1" applyBorder="1" applyAlignment="1">
      <alignment vertical="center" wrapText="1"/>
    </xf>
    <xf numFmtId="164" fontId="6" fillId="0" borderId="2" xfId="20" applyNumberFormat="1" applyFont="1" applyFill="1" applyBorder="1" applyAlignment="1" applyProtection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/index.php?title=List_of_tz_database_time_zones&amp;action=edit&amp;section=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9"/>
  <sheetViews>
    <sheetView tabSelected="1" workbookViewId="0" topLeftCell="A1">
      <selection activeCell="H1" sqref="H1"/>
    </sheetView>
  </sheetViews>
  <sheetFormatPr defaultColWidth="9.140625" defaultRowHeight="15"/>
  <cols>
    <col min="1" max="1" width="8.57421875" style="0" customWidth="1"/>
    <col min="2" max="2" width="4.8515625" style="0" customWidth="1"/>
    <col min="3" max="3" width="8.8515625" style="0" customWidth="1"/>
    <col min="4" max="4" width="24.28125" style="0" customWidth="1"/>
    <col min="5" max="5" width="31.140625" style="1" customWidth="1"/>
    <col min="6" max="6" width="14.00390625" style="0" customWidth="1"/>
    <col min="7" max="7" width="13.421875" style="0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7" ht="12.75">
      <c r="A2" s="4">
        <v>1</v>
      </c>
      <c r="B2" s="5" t="s">
        <v>7</v>
      </c>
      <c r="C2" s="4">
        <f>4230+131</f>
        <v>4361</v>
      </c>
      <c r="D2" s="5" t="s">
        <v>8</v>
      </c>
      <c r="E2" s="4"/>
      <c r="F2" s="5" t="s">
        <v>9</v>
      </c>
      <c r="G2" s="5" t="s">
        <v>10</v>
      </c>
    </row>
    <row r="3" spans="1:7" ht="12.75">
      <c r="A3" s="4">
        <v>2</v>
      </c>
      <c r="B3" s="5" t="s">
        <v>11</v>
      </c>
      <c r="C3" s="4">
        <f>2518+5518</f>
        <v>8036</v>
      </c>
      <c r="D3" s="5" t="s">
        <v>12</v>
      </c>
      <c r="E3" s="4"/>
      <c r="F3" s="5" t="s">
        <v>13</v>
      </c>
      <c r="G3" s="4" t="s">
        <v>14</v>
      </c>
    </row>
    <row r="4" spans="1:7" ht="12.75">
      <c r="A4" s="4">
        <v>3</v>
      </c>
      <c r="B4" s="5" t="s">
        <v>15</v>
      </c>
      <c r="C4" s="4">
        <f>3431+6912</f>
        <v>10343</v>
      </c>
      <c r="D4" s="5" t="s">
        <v>16</v>
      </c>
      <c r="E4" s="4"/>
      <c r="F4" s="5" t="s">
        <v>17</v>
      </c>
      <c r="G4" s="4" t="s">
        <v>14</v>
      </c>
    </row>
    <row r="5" spans="1:7" ht="12.75">
      <c r="A5" s="4">
        <v>4</v>
      </c>
      <c r="B5" s="5" t="s">
        <v>18</v>
      </c>
      <c r="C5" s="4">
        <f>1703-6148</f>
        <v>-4445</v>
      </c>
      <c r="D5" s="5" t="s">
        <v>19</v>
      </c>
      <c r="E5" s="4"/>
      <c r="F5" s="5" t="s">
        <v>20</v>
      </c>
      <c r="G5" s="4" t="s">
        <v>14</v>
      </c>
    </row>
    <row r="6" spans="1:7" ht="12.75">
      <c r="A6" s="4">
        <v>5</v>
      </c>
      <c r="B6" s="5" t="s">
        <v>21</v>
      </c>
      <c r="C6" s="4">
        <f>1812-6304</f>
        <v>-4492</v>
      </c>
      <c r="D6" s="5" t="s">
        <v>22</v>
      </c>
      <c r="E6" s="4"/>
      <c r="F6" s="5" t="s">
        <v>20</v>
      </c>
      <c r="G6" s="4" t="s">
        <v>14</v>
      </c>
    </row>
    <row r="7" spans="1:7" ht="12.75">
      <c r="A7" s="4">
        <v>6</v>
      </c>
      <c r="B7" s="5" t="s">
        <v>23</v>
      </c>
      <c r="C7" s="4">
        <f>4120+1950</f>
        <v>6070</v>
      </c>
      <c r="D7" s="5" t="s">
        <v>24</v>
      </c>
      <c r="E7" s="4"/>
      <c r="F7" s="5" t="s">
        <v>9</v>
      </c>
      <c r="G7" s="5" t="s">
        <v>10</v>
      </c>
    </row>
    <row r="8" spans="1:7" ht="12.75">
      <c r="A8" s="4">
        <v>7</v>
      </c>
      <c r="B8" s="5" t="s">
        <v>25</v>
      </c>
      <c r="C8" s="4">
        <f>4011+4430</f>
        <v>8441</v>
      </c>
      <c r="D8" s="5" t="s">
        <v>26</v>
      </c>
      <c r="E8" s="4"/>
      <c r="F8" s="5" t="s">
        <v>13</v>
      </c>
      <c r="G8" s="5" t="s">
        <v>27</v>
      </c>
    </row>
    <row r="9" spans="1:7" ht="12.75">
      <c r="A9" s="4">
        <v>8</v>
      </c>
      <c r="B9" s="5" t="s">
        <v>28</v>
      </c>
      <c r="C9" s="4">
        <f>1211-6900</f>
        <v>-5689</v>
      </c>
      <c r="D9" s="5" t="s">
        <v>29</v>
      </c>
      <c r="E9" s="4"/>
      <c r="F9" s="5" t="s">
        <v>20</v>
      </c>
      <c r="G9" s="4" t="s">
        <v>14</v>
      </c>
    </row>
    <row r="10" spans="1:7" ht="12.75">
      <c r="A10" s="4">
        <v>9</v>
      </c>
      <c r="B10" s="5" t="s">
        <v>30</v>
      </c>
      <c r="C10" s="4">
        <f>-848+1314</f>
        <v>466</v>
      </c>
      <c r="D10" s="5" t="s">
        <v>31</v>
      </c>
      <c r="E10" s="4"/>
      <c r="F10" s="5" t="s">
        <v>9</v>
      </c>
      <c r="G10" s="4" t="s">
        <v>14</v>
      </c>
    </row>
    <row r="11" spans="1:7" ht="12.75">
      <c r="A11" s="4">
        <v>10</v>
      </c>
      <c r="B11" s="5" t="s">
        <v>32</v>
      </c>
      <c r="C11" s="4">
        <f>-7750+16636</f>
        <v>8886</v>
      </c>
      <c r="D11" s="5" t="s">
        <v>33</v>
      </c>
      <c r="E11" s="4" t="s">
        <v>34</v>
      </c>
      <c r="F11" s="5" t="s">
        <v>35</v>
      </c>
      <c r="G11" s="5" t="s">
        <v>36</v>
      </c>
    </row>
    <row r="12" spans="1:7" ht="12.75">
      <c r="A12" s="4">
        <v>11</v>
      </c>
      <c r="B12" s="5" t="s">
        <v>32</v>
      </c>
      <c r="C12" s="4">
        <f>-9000+0</f>
        <v>-9000</v>
      </c>
      <c r="D12" s="5" t="s">
        <v>37</v>
      </c>
      <c r="E12" s="4" t="s">
        <v>38</v>
      </c>
      <c r="F12" s="5" t="s">
        <v>35</v>
      </c>
      <c r="G12" s="5" t="s">
        <v>36</v>
      </c>
    </row>
    <row r="13" spans="1:7" ht="12.75">
      <c r="A13" s="4">
        <v>12</v>
      </c>
      <c r="B13" s="5" t="s">
        <v>32</v>
      </c>
      <c r="C13" s="4">
        <f>-6734-6808</f>
        <v>-13542</v>
      </c>
      <c r="D13" s="5" t="s">
        <v>39</v>
      </c>
      <c r="E13" s="4" t="s">
        <v>40</v>
      </c>
      <c r="F13" s="5" t="s">
        <v>41</v>
      </c>
      <c r="G13" s="4" t="s">
        <v>14</v>
      </c>
    </row>
    <row r="14" spans="1:7" ht="12.75">
      <c r="A14" s="4">
        <v>13</v>
      </c>
      <c r="B14" s="5" t="s">
        <v>32</v>
      </c>
      <c r="C14" s="4">
        <f>-6448-6406</f>
        <v>-12854</v>
      </c>
      <c r="D14" s="5" t="s">
        <v>42</v>
      </c>
      <c r="E14" s="4" t="s">
        <v>43</v>
      </c>
      <c r="F14" s="5" t="s">
        <v>20</v>
      </c>
      <c r="G14" s="5" t="s">
        <v>41</v>
      </c>
    </row>
    <row r="15" spans="1:7" ht="12.75">
      <c r="A15" s="4">
        <v>14</v>
      </c>
      <c r="B15" s="5" t="s">
        <v>32</v>
      </c>
      <c r="C15" s="4">
        <f>-6736+6253</f>
        <v>-483</v>
      </c>
      <c r="D15" s="5" t="s">
        <v>44</v>
      </c>
      <c r="E15" s="4" t="s">
        <v>45</v>
      </c>
      <c r="F15" s="5" t="s">
        <v>46</v>
      </c>
      <c r="G15" s="4" t="s">
        <v>14</v>
      </c>
    </row>
    <row r="16" spans="1:7" ht="12.75">
      <c r="A16" s="4">
        <v>15</v>
      </c>
      <c r="B16" s="5" t="s">
        <v>32</v>
      </c>
      <c r="C16" s="4">
        <f>-6835+7758</f>
        <v>923</v>
      </c>
      <c r="D16" s="5" t="s">
        <v>47</v>
      </c>
      <c r="E16" s="4" t="s">
        <v>48</v>
      </c>
      <c r="F16" s="5" t="s">
        <v>49</v>
      </c>
      <c r="G16" s="4" t="s">
        <v>14</v>
      </c>
    </row>
    <row r="17" spans="1:7" ht="12.75">
      <c r="A17" s="4">
        <v>16</v>
      </c>
      <c r="B17" s="5" t="s">
        <v>32</v>
      </c>
      <c r="C17" s="4">
        <f>-6617+11031</f>
        <v>4414</v>
      </c>
      <c r="D17" s="5" t="s">
        <v>50</v>
      </c>
      <c r="E17" s="4" t="s">
        <v>51</v>
      </c>
      <c r="F17" s="5" t="s">
        <v>52</v>
      </c>
      <c r="G17" s="4" t="s">
        <v>14</v>
      </c>
    </row>
    <row r="18" spans="1:7" ht="12.75">
      <c r="A18" s="4">
        <v>17</v>
      </c>
      <c r="B18" s="5" t="s">
        <v>32</v>
      </c>
      <c r="C18" s="4">
        <f>-7824+10654</f>
        <v>2830</v>
      </c>
      <c r="D18" s="5" t="s">
        <v>53</v>
      </c>
      <c r="E18" s="4" t="s">
        <v>54</v>
      </c>
      <c r="F18" s="5" t="s">
        <v>55</v>
      </c>
      <c r="G18" s="4" t="s">
        <v>14</v>
      </c>
    </row>
    <row r="19" spans="1:7" ht="12.75">
      <c r="A19" s="4">
        <v>18</v>
      </c>
      <c r="B19" s="5" t="s">
        <v>32</v>
      </c>
      <c r="C19" s="4">
        <f>-6640+14001</f>
        <v>7361</v>
      </c>
      <c r="D19" s="5" t="s">
        <v>56</v>
      </c>
      <c r="E19" s="4" t="s">
        <v>57</v>
      </c>
      <c r="F19" s="5" t="s">
        <v>58</v>
      </c>
      <c r="G19" s="4" t="s">
        <v>14</v>
      </c>
    </row>
    <row r="20" spans="1:7" ht="12.75">
      <c r="A20" s="4">
        <v>19</v>
      </c>
      <c r="B20" s="5" t="s">
        <v>32</v>
      </c>
      <c r="C20" s="4">
        <f>-690022+393524</f>
        <v>-296498</v>
      </c>
      <c r="D20" s="5" t="s">
        <v>59</v>
      </c>
      <c r="E20" s="4" t="s">
        <v>60</v>
      </c>
      <c r="F20" s="5" t="s">
        <v>61</v>
      </c>
      <c r="G20" s="4" t="s">
        <v>14</v>
      </c>
    </row>
    <row r="21" spans="1:7" ht="12.75">
      <c r="A21" s="4">
        <v>20</v>
      </c>
      <c r="B21" s="5" t="s">
        <v>62</v>
      </c>
      <c r="C21" s="4">
        <f>-3436-5827</f>
        <v>-9263</v>
      </c>
      <c r="D21" s="6" t="s">
        <v>63</v>
      </c>
      <c r="E21" s="4" t="s">
        <v>64</v>
      </c>
      <c r="F21" s="5" t="s">
        <v>41</v>
      </c>
      <c r="G21" s="5" t="s">
        <v>65</v>
      </c>
    </row>
    <row r="22" spans="1:7" ht="12.75">
      <c r="A22" s="4">
        <v>21</v>
      </c>
      <c r="B22" s="5" t="s">
        <v>62</v>
      </c>
      <c r="C22" s="4">
        <f>-3124-6411</f>
        <v>-9535</v>
      </c>
      <c r="D22" s="6" t="s">
        <v>66</v>
      </c>
      <c r="E22" s="4" t="s">
        <v>67</v>
      </c>
      <c r="F22" s="5" t="s">
        <v>41</v>
      </c>
      <c r="G22" s="5" t="s">
        <v>65</v>
      </c>
    </row>
    <row r="23" spans="1:7" ht="12.75">
      <c r="A23" s="4">
        <v>22</v>
      </c>
      <c r="B23" s="5" t="s">
        <v>62</v>
      </c>
      <c r="C23" s="4">
        <f>-2447-6525</f>
        <v>-8972</v>
      </c>
      <c r="D23" s="6" t="s">
        <v>68</v>
      </c>
      <c r="E23" s="4" t="s">
        <v>69</v>
      </c>
      <c r="F23" s="5" t="s">
        <v>41</v>
      </c>
      <c r="G23" s="4" t="s">
        <v>14</v>
      </c>
    </row>
    <row r="24" spans="1:7" ht="12.75">
      <c r="A24" s="4">
        <v>23</v>
      </c>
      <c r="B24" s="5" t="s">
        <v>62</v>
      </c>
      <c r="C24" s="4">
        <f>-2411-6518</f>
        <v>-8929</v>
      </c>
      <c r="D24" s="6" t="s">
        <v>70</v>
      </c>
      <c r="E24" s="4" t="s">
        <v>71</v>
      </c>
      <c r="F24" s="5" t="s">
        <v>41</v>
      </c>
      <c r="G24" s="4" t="s">
        <v>14</v>
      </c>
    </row>
    <row r="25" spans="1:7" ht="12.75">
      <c r="A25" s="4">
        <v>24</v>
      </c>
      <c r="B25" s="5" t="s">
        <v>62</v>
      </c>
      <c r="C25" s="4">
        <f>-2649-6513</f>
        <v>-9162</v>
      </c>
      <c r="D25" s="6" t="s">
        <v>72</v>
      </c>
      <c r="E25" s="4" t="s">
        <v>73</v>
      </c>
      <c r="F25" s="5" t="s">
        <v>41</v>
      </c>
      <c r="G25" s="5" t="s">
        <v>65</v>
      </c>
    </row>
    <row r="26" spans="1:7" ht="12.75">
      <c r="A26" s="4">
        <v>25</v>
      </c>
      <c r="B26" s="5" t="s">
        <v>62</v>
      </c>
      <c r="C26" s="4">
        <f>-2828-6547</f>
        <v>-9375</v>
      </c>
      <c r="D26" s="6" t="s">
        <v>74</v>
      </c>
      <c r="E26" s="4" t="s">
        <v>75</v>
      </c>
      <c r="F26" s="5" t="s">
        <v>41</v>
      </c>
      <c r="G26" s="4" t="s">
        <v>14</v>
      </c>
    </row>
    <row r="27" spans="1:7" ht="12.75">
      <c r="A27" s="4">
        <v>26</v>
      </c>
      <c r="B27" s="5" t="s">
        <v>62</v>
      </c>
      <c r="C27" s="4">
        <f>-2926-6651</f>
        <v>-9577</v>
      </c>
      <c r="D27" s="6" t="s">
        <v>76</v>
      </c>
      <c r="E27" s="4" t="s">
        <v>77</v>
      </c>
      <c r="F27" s="5" t="s">
        <v>41</v>
      </c>
      <c r="G27" s="4" t="s">
        <v>14</v>
      </c>
    </row>
    <row r="28" spans="1:7" ht="12.75">
      <c r="A28" s="4">
        <v>27</v>
      </c>
      <c r="B28" s="5" t="s">
        <v>62</v>
      </c>
      <c r="C28" s="4">
        <f>-3132-6831</f>
        <v>-9963</v>
      </c>
      <c r="D28" s="6" t="s">
        <v>78</v>
      </c>
      <c r="E28" s="4" t="s">
        <v>79</v>
      </c>
      <c r="F28" s="5" t="s">
        <v>41</v>
      </c>
      <c r="G28" s="4" t="s">
        <v>14</v>
      </c>
    </row>
    <row r="29" spans="1:7" ht="12.75">
      <c r="A29" s="4">
        <v>28</v>
      </c>
      <c r="B29" s="5" t="s">
        <v>62</v>
      </c>
      <c r="C29" s="4">
        <f>-3253-6849</f>
        <v>-10102</v>
      </c>
      <c r="D29" s="6" t="s">
        <v>80</v>
      </c>
      <c r="E29" s="4" t="s">
        <v>81</v>
      </c>
      <c r="F29" s="5" t="s">
        <v>41</v>
      </c>
      <c r="G29" s="4" t="s">
        <v>14</v>
      </c>
    </row>
    <row r="30" spans="1:7" ht="12.75">
      <c r="A30" s="4">
        <v>29</v>
      </c>
      <c r="B30" s="5" t="s">
        <v>62</v>
      </c>
      <c r="C30" s="4">
        <f>-3319-6621</f>
        <v>-9940</v>
      </c>
      <c r="D30" s="6" t="s">
        <v>82</v>
      </c>
      <c r="E30" s="4" t="s">
        <v>83</v>
      </c>
      <c r="F30" s="5" t="s">
        <v>41</v>
      </c>
      <c r="G30" s="4" t="s">
        <v>14</v>
      </c>
    </row>
    <row r="31" spans="1:7" ht="12.75">
      <c r="A31" s="4">
        <v>30</v>
      </c>
      <c r="B31" s="5" t="s">
        <v>62</v>
      </c>
      <c r="C31" s="4">
        <f>-5138-6913</f>
        <v>-12051</v>
      </c>
      <c r="D31" s="6" t="s">
        <v>84</v>
      </c>
      <c r="E31" s="4" t="s">
        <v>85</v>
      </c>
      <c r="F31" s="5" t="s">
        <v>41</v>
      </c>
      <c r="G31" s="4" t="s">
        <v>14</v>
      </c>
    </row>
    <row r="32" spans="1:7" ht="12.75">
      <c r="A32" s="4">
        <v>31</v>
      </c>
      <c r="B32" s="5" t="s">
        <v>62</v>
      </c>
      <c r="C32" s="4">
        <f>-5448-6818</f>
        <v>-12266</v>
      </c>
      <c r="D32" s="6" t="s">
        <v>86</v>
      </c>
      <c r="E32" s="4" t="s">
        <v>87</v>
      </c>
      <c r="F32" s="5" t="s">
        <v>41</v>
      </c>
      <c r="G32" s="4" t="s">
        <v>14</v>
      </c>
    </row>
    <row r="33" spans="1:7" ht="12.75">
      <c r="A33" s="4">
        <v>32</v>
      </c>
      <c r="B33" s="5" t="s">
        <v>88</v>
      </c>
      <c r="C33" s="4">
        <f>-1416-17042</f>
        <v>-18458</v>
      </c>
      <c r="D33" s="5" t="s">
        <v>89</v>
      </c>
      <c r="E33" s="4"/>
      <c r="F33" s="5" t="s">
        <v>90</v>
      </c>
      <c r="G33" s="4" t="s">
        <v>14</v>
      </c>
    </row>
    <row r="34" spans="1:7" ht="12.75">
      <c r="A34" s="4">
        <v>33</v>
      </c>
      <c r="B34" s="5" t="s">
        <v>91</v>
      </c>
      <c r="C34" s="4">
        <f>4813+1620</f>
        <v>6433</v>
      </c>
      <c r="D34" s="5" t="s">
        <v>92</v>
      </c>
      <c r="E34" s="4"/>
      <c r="F34" s="5" t="s">
        <v>9</v>
      </c>
      <c r="G34" s="5" t="s">
        <v>10</v>
      </c>
    </row>
    <row r="35" spans="1:7" ht="12.75">
      <c r="A35" s="4">
        <v>34</v>
      </c>
      <c r="B35" s="5" t="s">
        <v>93</v>
      </c>
      <c r="C35" s="4">
        <f>-3133+15905</f>
        <v>12772</v>
      </c>
      <c r="D35" s="5" t="s">
        <v>94</v>
      </c>
      <c r="E35" s="4" t="s">
        <v>95</v>
      </c>
      <c r="F35" s="5" t="s">
        <v>96</v>
      </c>
      <c r="G35" s="5" t="s">
        <v>97</v>
      </c>
    </row>
    <row r="36" spans="1:7" ht="12.75">
      <c r="A36" s="4">
        <v>35</v>
      </c>
      <c r="B36" s="5" t="s">
        <v>93</v>
      </c>
      <c r="C36" s="4">
        <f>-4253+14719</f>
        <v>10466</v>
      </c>
      <c r="D36" s="5" t="s">
        <v>98</v>
      </c>
      <c r="E36" s="4" t="s">
        <v>99</v>
      </c>
      <c r="F36" s="5" t="s">
        <v>58</v>
      </c>
      <c r="G36" s="5" t="s">
        <v>97</v>
      </c>
    </row>
    <row r="37" spans="1:7" ht="12.75">
      <c r="A37" s="4">
        <v>36</v>
      </c>
      <c r="B37" s="5" t="s">
        <v>93</v>
      </c>
      <c r="C37" s="4">
        <f>-3956+14352</f>
        <v>10396</v>
      </c>
      <c r="D37" s="5" t="s">
        <v>100</v>
      </c>
      <c r="E37" s="4" t="s">
        <v>101</v>
      </c>
      <c r="F37" s="5" t="s">
        <v>58</v>
      </c>
      <c r="G37" s="5" t="s">
        <v>97</v>
      </c>
    </row>
    <row r="38" spans="1:7" ht="12.75">
      <c r="A38" s="4">
        <v>37</v>
      </c>
      <c r="B38" s="5" t="s">
        <v>93</v>
      </c>
      <c r="C38" s="4">
        <f>-3749+14458</f>
        <v>10709</v>
      </c>
      <c r="D38" s="5" t="s">
        <v>102</v>
      </c>
      <c r="E38" s="4" t="s">
        <v>103</v>
      </c>
      <c r="F38" s="5" t="s">
        <v>58</v>
      </c>
      <c r="G38" s="5" t="s">
        <v>97</v>
      </c>
    </row>
    <row r="39" spans="1:7" ht="12.75">
      <c r="A39" s="4">
        <v>38</v>
      </c>
      <c r="B39" s="5" t="s">
        <v>93</v>
      </c>
      <c r="C39" s="4">
        <f>-3352+15113</f>
        <v>11761</v>
      </c>
      <c r="D39" s="5" t="s">
        <v>104</v>
      </c>
      <c r="E39" s="4" t="s">
        <v>105</v>
      </c>
      <c r="F39" s="5" t="s">
        <v>58</v>
      </c>
      <c r="G39" s="5" t="s">
        <v>97</v>
      </c>
    </row>
    <row r="40" spans="1:7" ht="12.75">
      <c r="A40" s="4">
        <v>39</v>
      </c>
      <c r="B40" s="5" t="s">
        <v>93</v>
      </c>
      <c r="C40" s="4">
        <f>-3157+14127</f>
        <v>10970</v>
      </c>
      <c r="D40" s="5" t="s">
        <v>106</v>
      </c>
      <c r="E40" s="4" t="s">
        <v>107</v>
      </c>
      <c r="F40" s="5" t="s">
        <v>108</v>
      </c>
      <c r="G40" s="5" t="s">
        <v>96</v>
      </c>
    </row>
    <row r="41" spans="1:7" ht="12.75">
      <c r="A41" s="4">
        <v>40</v>
      </c>
      <c r="B41" s="5" t="s">
        <v>93</v>
      </c>
      <c r="C41" s="4">
        <f>-2728+15302</f>
        <v>12574</v>
      </c>
      <c r="D41" s="5" t="s">
        <v>109</v>
      </c>
      <c r="E41" s="4" t="s">
        <v>110</v>
      </c>
      <c r="F41" s="5" t="s">
        <v>58</v>
      </c>
      <c r="G41" s="4" t="s">
        <v>14</v>
      </c>
    </row>
    <row r="42" spans="1:7" ht="12.75">
      <c r="A42" s="4">
        <v>41</v>
      </c>
      <c r="B42" s="5" t="s">
        <v>93</v>
      </c>
      <c r="C42" s="4">
        <f>-2016+14900</f>
        <v>12884</v>
      </c>
      <c r="D42" s="5" t="s">
        <v>111</v>
      </c>
      <c r="E42" s="4" t="s">
        <v>112</v>
      </c>
      <c r="F42" s="5" t="s">
        <v>58</v>
      </c>
      <c r="G42" s="4" t="s">
        <v>14</v>
      </c>
    </row>
    <row r="43" spans="1:7" ht="12.75">
      <c r="A43" s="4">
        <v>42</v>
      </c>
      <c r="B43" s="5" t="s">
        <v>93</v>
      </c>
      <c r="C43" s="4">
        <f>-3455+13835</f>
        <v>10380</v>
      </c>
      <c r="D43" s="5" t="s">
        <v>113</v>
      </c>
      <c r="E43" s="4" t="s">
        <v>114</v>
      </c>
      <c r="F43" s="5" t="s">
        <v>108</v>
      </c>
      <c r="G43" s="5" t="s">
        <v>96</v>
      </c>
    </row>
    <row r="44" spans="1:7" ht="12.75">
      <c r="A44" s="4">
        <v>43</v>
      </c>
      <c r="B44" s="5" t="s">
        <v>93</v>
      </c>
      <c r="C44" s="4">
        <f>-1228+13050</f>
        <v>11822</v>
      </c>
      <c r="D44" s="5" t="s">
        <v>115</v>
      </c>
      <c r="E44" s="4" t="s">
        <v>116</v>
      </c>
      <c r="F44" s="5" t="s">
        <v>108</v>
      </c>
      <c r="G44" s="4" t="s">
        <v>14</v>
      </c>
    </row>
    <row r="45" spans="1:7" ht="12.75">
      <c r="A45" s="4">
        <v>44</v>
      </c>
      <c r="B45" s="5" t="s">
        <v>93</v>
      </c>
      <c r="C45" s="4">
        <f>-3157+11551</f>
        <v>8394</v>
      </c>
      <c r="D45" s="5" t="s">
        <v>117</v>
      </c>
      <c r="E45" s="4" t="s">
        <v>118</v>
      </c>
      <c r="F45" s="5" t="s">
        <v>52</v>
      </c>
      <c r="G45" s="4" t="s">
        <v>14</v>
      </c>
    </row>
    <row r="46" spans="1:7" ht="12.75">
      <c r="A46" s="4">
        <v>45</v>
      </c>
      <c r="B46" s="5" t="s">
        <v>93</v>
      </c>
      <c r="C46" s="4">
        <f>-3143+12852</f>
        <v>9709</v>
      </c>
      <c r="D46" s="5" t="s">
        <v>119</v>
      </c>
      <c r="E46" s="4" t="s">
        <v>120</v>
      </c>
      <c r="F46" s="5" t="s">
        <v>121</v>
      </c>
      <c r="G46" s="5" t="s">
        <v>122</v>
      </c>
    </row>
    <row r="47" spans="1:7" ht="12.75">
      <c r="A47" s="4">
        <v>46</v>
      </c>
      <c r="B47" s="5" t="s">
        <v>123</v>
      </c>
      <c r="C47" s="4">
        <f>1230-6958</f>
        <v>-5728</v>
      </c>
      <c r="D47" s="5" t="s">
        <v>124</v>
      </c>
      <c r="E47" s="4"/>
      <c r="F47" s="5" t="s">
        <v>20</v>
      </c>
      <c r="G47" s="4" t="s">
        <v>14</v>
      </c>
    </row>
    <row r="48" spans="1:7" ht="12.75">
      <c r="A48" s="4">
        <v>47</v>
      </c>
      <c r="B48" s="5" t="s">
        <v>125</v>
      </c>
      <c r="C48" s="4">
        <f>6006+1957</f>
        <v>7963</v>
      </c>
      <c r="D48" s="5" t="s">
        <v>126</v>
      </c>
      <c r="E48" s="4"/>
      <c r="F48" s="5" t="s">
        <v>10</v>
      </c>
      <c r="G48" s="5" t="s">
        <v>61</v>
      </c>
    </row>
    <row r="49" spans="1:7" ht="12.75">
      <c r="A49" s="4">
        <v>48</v>
      </c>
      <c r="B49" s="5" t="s">
        <v>127</v>
      </c>
      <c r="C49" s="4">
        <f>4023+4951</f>
        <v>8974</v>
      </c>
      <c r="D49" s="5" t="s">
        <v>128</v>
      </c>
      <c r="E49" s="4"/>
      <c r="F49" s="5" t="s">
        <v>13</v>
      </c>
      <c r="G49" s="5" t="s">
        <v>27</v>
      </c>
    </row>
    <row r="50" spans="1:7" ht="12.75">
      <c r="A50" s="4">
        <v>49</v>
      </c>
      <c r="B50" s="5" t="s">
        <v>129</v>
      </c>
      <c r="C50" s="4">
        <f>4352+1825</f>
        <v>6177</v>
      </c>
      <c r="D50" s="5" t="s">
        <v>130</v>
      </c>
      <c r="E50" s="4"/>
      <c r="F50" s="5" t="s">
        <v>9</v>
      </c>
      <c r="G50" s="5" t="s">
        <v>10</v>
      </c>
    </row>
    <row r="51" spans="1:7" ht="12.75">
      <c r="A51" s="4">
        <v>50</v>
      </c>
      <c r="B51" s="5" t="s">
        <v>131</v>
      </c>
      <c r="C51" s="4">
        <f>1306-5937</f>
        <v>-4631</v>
      </c>
      <c r="D51" s="5" t="s">
        <v>132</v>
      </c>
      <c r="E51" s="4"/>
      <c r="F51" s="5" t="s">
        <v>20</v>
      </c>
      <c r="G51" s="4" t="s">
        <v>14</v>
      </c>
    </row>
    <row r="52" spans="1:7" ht="12.75">
      <c r="A52" s="4">
        <v>51</v>
      </c>
      <c r="B52" s="5" t="s">
        <v>133</v>
      </c>
      <c r="C52" s="4">
        <f>2343+9025</f>
        <v>11368</v>
      </c>
      <c r="D52" s="5" t="s">
        <v>134</v>
      </c>
      <c r="E52" s="4"/>
      <c r="F52" s="5" t="s">
        <v>46</v>
      </c>
      <c r="G52" s="4" t="s">
        <v>14</v>
      </c>
    </row>
    <row r="53" spans="1:7" ht="12.75">
      <c r="A53" s="4">
        <v>52</v>
      </c>
      <c r="B53" s="5" t="s">
        <v>135</v>
      </c>
      <c r="C53" s="4">
        <f>5050+420</f>
        <v>5470</v>
      </c>
      <c r="D53" s="5" t="s">
        <v>136</v>
      </c>
      <c r="E53" s="4"/>
      <c r="F53" s="5" t="s">
        <v>9</v>
      </c>
      <c r="G53" s="5" t="s">
        <v>10</v>
      </c>
    </row>
    <row r="54" spans="1:7" ht="12.75">
      <c r="A54" s="4">
        <v>53</v>
      </c>
      <c r="B54" s="5" t="s">
        <v>137</v>
      </c>
      <c r="C54" s="4">
        <f>1222-131</f>
        <v>1091</v>
      </c>
      <c r="D54" s="5" t="s">
        <v>138</v>
      </c>
      <c r="E54" s="4"/>
      <c r="F54" s="5" t="s">
        <v>55</v>
      </c>
      <c r="G54" s="4" t="s">
        <v>14</v>
      </c>
    </row>
    <row r="55" spans="1:7" ht="12.75">
      <c r="A55" s="4">
        <v>54</v>
      </c>
      <c r="B55" s="5" t="s">
        <v>139</v>
      </c>
      <c r="C55" s="4">
        <f>4241+2319</f>
        <v>6560</v>
      </c>
      <c r="D55" s="5" t="s">
        <v>140</v>
      </c>
      <c r="E55" s="4"/>
      <c r="F55" s="5" t="s">
        <v>10</v>
      </c>
      <c r="G55" s="5" t="s">
        <v>61</v>
      </c>
    </row>
    <row r="56" spans="1:7" ht="12.75">
      <c r="A56" s="4">
        <v>55</v>
      </c>
      <c r="B56" s="5" t="s">
        <v>141</v>
      </c>
      <c r="C56" s="4">
        <f>2623+5035</f>
        <v>7658</v>
      </c>
      <c r="D56" s="5" t="s">
        <v>142</v>
      </c>
      <c r="E56" s="4"/>
      <c r="F56" s="5" t="s">
        <v>61</v>
      </c>
      <c r="G56" s="4" t="s">
        <v>14</v>
      </c>
    </row>
    <row r="57" spans="1:7" ht="12.75">
      <c r="A57" s="4">
        <v>56</v>
      </c>
      <c r="B57" s="5" t="s">
        <v>143</v>
      </c>
      <c r="C57" s="4">
        <f>-323+2922</f>
        <v>2599</v>
      </c>
      <c r="D57" s="5" t="s">
        <v>144</v>
      </c>
      <c r="E57" s="4"/>
      <c r="F57" s="5" t="s">
        <v>10</v>
      </c>
      <c r="G57" s="4" t="s">
        <v>14</v>
      </c>
    </row>
    <row r="58" spans="1:7" ht="12.75">
      <c r="A58" s="4">
        <v>57</v>
      </c>
      <c r="B58" s="5" t="s">
        <v>145</v>
      </c>
      <c r="C58" s="4">
        <f>629+237</f>
        <v>866</v>
      </c>
      <c r="D58" s="5" t="s">
        <v>146</v>
      </c>
      <c r="E58" s="4"/>
      <c r="F58" s="5" t="s">
        <v>9</v>
      </c>
      <c r="G58" s="4" t="s">
        <v>14</v>
      </c>
    </row>
    <row r="59" spans="1:7" ht="12.75">
      <c r="A59" s="4">
        <v>58</v>
      </c>
      <c r="B59" s="5" t="s">
        <v>147</v>
      </c>
      <c r="C59" s="4">
        <f>1753-6251</f>
        <v>-4498</v>
      </c>
      <c r="D59" s="5" t="s">
        <v>148</v>
      </c>
      <c r="E59" s="4"/>
      <c r="F59" s="5" t="s">
        <v>20</v>
      </c>
      <c r="G59" s="4" t="s">
        <v>14</v>
      </c>
    </row>
    <row r="60" spans="1:7" ht="12.75">
      <c r="A60" s="4">
        <v>59</v>
      </c>
      <c r="B60" s="5" t="s">
        <v>149</v>
      </c>
      <c r="C60" s="4">
        <f>3217-6446</f>
        <v>-3229</v>
      </c>
      <c r="D60" s="5" t="s">
        <v>150</v>
      </c>
      <c r="E60" s="4"/>
      <c r="F60" s="5" t="s">
        <v>20</v>
      </c>
      <c r="G60" s="5" t="s">
        <v>41</v>
      </c>
    </row>
    <row r="61" spans="1:7" ht="12.75">
      <c r="A61" s="4">
        <v>60</v>
      </c>
      <c r="B61" s="5" t="s">
        <v>151</v>
      </c>
      <c r="C61" s="4">
        <f>456+11455</f>
        <v>11911</v>
      </c>
      <c r="D61" s="5" t="s">
        <v>152</v>
      </c>
      <c r="E61" s="4"/>
      <c r="F61" s="5" t="s">
        <v>52</v>
      </c>
      <c r="G61" s="4" t="s">
        <v>14</v>
      </c>
    </row>
    <row r="62" spans="1:7" ht="12.75">
      <c r="A62" s="4">
        <v>61</v>
      </c>
      <c r="B62" s="5" t="s">
        <v>153</v>
      </c>
      <c r="C62" s="4">
        <f>-1630-6809</f>
        <v>-8439</v>
      </c>
      <c r="D62" s="5" t="s">
        <v>154</v>
      </c>
      <c r="E62" s="4"/>
      <c r="F62" s="5" t="s">
        <v>20</v>
      </c>
      <c r="G62" s="4" t="s">
        <v>14</v>
      </c>
    </row>
    <row r="63" spans="1:7" ht="12.75">
      <c r="A63" s="4">
        <v>62</v>
      </c>
      <c r="B63" s="5" t="s">
        <v>155</v>
      </c>
      <c r="C63" s="4">
        <f>-351-3225</f>
        <v>-3576</v>
      </c>
      <c r="D63" s="5" t="s">
        <v>156</v>
      </c>
      <c r="E63" s="5" t="s">
        <v>157</v>
      </c>
      <c r="F63" s="5" t="s">
        <v>65</v>
      </c>
      <c r="G63" s="4" t="s">
        <v>14</v>
      </c>
    </row>
    <row r="64" spans="1:7" ht="12.75">
      <c r="A64" s="4">
        <v>63</v>
      </c>
      <c r="B64" s="5" t="s">
        <v>155</v>
      </c>
      <c r="C64" s="4">
        <f>-127-4829</f>
        <v>-4956</v>
      </c>
      <c r="D64" s="5" t="s">
        <v>158</v>
      </c>
      <c r="E64" s="7" t="s">
        <v>159</v>
      </c>
      <c r="F64" s="5" t="s">
        <v>41</v>
      </c>
      <c r="G64" s="4" t="s">
        <v>14</v>
      </c>
    </row>
    <row r="65" spans="1:7" ht="12.75">
      <c r="A65" s="4">
        <v>64</v>
      </c>
      <c r="B65" s="5" t="s">
        <v>155</v>
      </c>
      <c r="C65" s="4">
        <f>-343-3830</f>
        <v>-4173</v>
      </c>
      <c r="D65" s="5" t="s">
        <v>160</v>
      </c>
      <c r="E65" s="7" t="s">
        <v>161</v>
      </c>
      <c r="F65" s="5" t="s">
        <v>41</v>
      </c>
      <c r="G65" s="4" t="s">
        <v>14</v>
      </c>
    </row>
    <row r="66" spans="1:7" ht="12.75">
      <c r="A66" s="4">
        <v>65</v>
      </c>
      <c r="B66" s="5" t="s">
        <v>155</v>
      </c>
      <c r="C66" s="4">
        <f>-803-3454</f>
        <v>-4257</v>
      </c>
      <c r="D66" s="5" t="s">
        <v>162</v>
      </c>
      <c r="E66" s="5" t="s">
        <v>163</v>
      </c>
      <c r="F66" s="5" t="s">
        <v>41</v>
      </c>
      <c r="G66" s="4" t="s">
        <v>14</v>
      </c>
    </row>
    <row r="67" spans="1:7" ht="12.75">
      <c r="A67" s="4">
        <v>66</v>
      </c>
      <c r="B67" s="5" t="s">
        <v>155</v>
      </c>
      <c r="C67" s="4">
        <f>-712-4812</f>
        <v>-5524</v>
      </c>
      <c r="D67" s="5" t="s">
        <v>164</v>
      </c>
      <c r="E67" s="5" t="s">
        <v>165</v>
      </c>
      <c r="F67" s="5" t="s">
        <v>41</v>
      </c>
      <c r="G67" s="4" t="s">
        <v>14</v>
      </c>
    </row>
    <row r="68" spans="1:7" ht="12.75">
      <c r="A68" s="4">
        <v>67</v>
      </c>
      <c r="B68" s="5" t="s">
        <v>155</v>
      </c>
      <c r="C68" s="4">
        <f>-940-3543</f>
        <v>-4483</v>
      </c>
      <c r="D68" s="5" t="s">
        <v>166</v>
      </c>
      <c r="E68" s="7" t="s">
        <v>167</v>
      </c>
      <c r="F68" s="5" t="s">
        <v>41</v>
      </c>
      <c r="G68" s="4" t="s">
        <v>14</v>
      </c>
    </row>
    <row r="69" spans="1:7" ht="12.75">
      <c r="A69" s="4">
        <v>68</v>
      </c>
      <c r="B69" s="5" t="s">
        <v>155</v>
      </c>
      <c r="C69" s="4">
        <f>-1259-3831</f>
        <v>-5090</v>
      </c>
      <c r="D69" s="5" t="s">
        <v>168</v>
      </c>
      <c r="E69" s="5" t="s">
        <v>169</v>
      </c>
      <c r="F69" s="5" t="s">
        <v>41</v>
      </c>
      <c r="G69" s="4" t="s">
        <v>14</v>
      </c>
    </row>
    <row r="70" spans="1:7" ht="12.75">
      <c r="A70" s="4">
        <v>69</v>
      </c>
      <c r="B70" s="5" t="s">
        <v>155</v>
      </c>
      <c r="C70" s="4">
        <f>-2332-4637</f>
        <v>-6969</v>
      </c>
      <c r="D70" s="5" t="s">
        <v>170</v>
      </c>
      <c r="E70" s="7" t="s">
        <v>171</v>
      </c>
      <c r="F70" s="5" t="s">
        <v>41</v>
      </c>
      <c r="G70" s="5" t="s">
        <v>65</v>
      </c>
    </row>
    <row r="71" spans="1:7" ht="12.75">
      <c r="A71" s="4">
        <v>70</v>
      </c>
      <c r="B71" s="5" t="s">
        <v>155</v>
      </c>
      <c r="C71" s="4">
        <f>-2027-5437</f>
        <v>-7464</v>
      </c>
      <c r="D71" s="5" t="s">
        <v>172</v>
      </c>
      <c r="E71" s="5" t="s">
        <v>173</v>
      </c>
      <c r="F71" s="5" t="s">
        <v>20</v>
      </c>
      <c r="G71" s="5" t="s">
        <v>41</v>
      </c>
    </row>
    <row r="72" spans="1:7" ht="12.75">
      <c r="A72" s="4">
        <v>71</v>
      </c>
      <c r="B72" s="5" t="s">
        <v>155</v>
      </c>
      <c r="C72" s="4">
        <f>-1535-5605</f>
        <v>-7140</v>
      </c>
      <c r="D72" s="5" t="s">
        <v>174</v>
      </c>
      <c r="E72" s="5" t="s">
        <v>175</v>
      </c>
      <c r="F72" s="5" t="s">
        <v>20</v>
      </c>
      <c r="G72" s="5" t="s">
        <v>41</v>
      </c>
    </row>
    <row r="73" spans="1:7" ht="12.75">
      <c r="A73" s="4">
        <v>72</v>
      </c>
      <c r="B73" s="5" t="s">
        <v>155</v>
      </c>
      <c r="C73" s="4">
        <f>-226-5452</f>
        <v>-5678</v>
      </c>
      <c r="D73" s="5" t="s">
        <v>176</v>
      </c>
      <c r="E73" s="5" t="s">
        <v>177</v>
      </c>
      <c r="F73" s="5" t="s">
        <v>41</v>
      </c>
      <c r="G73" s="4" t="s">
        <v>14</v>
      </c>
    </row>
    <row r="74" spans="1:7" ht="12.75">
      <c r="A74" s="4">
        <v>73</v>
      </c>
      <c r="B74" s="5" t="s">
        <v>155</v>
      </c>
      <c r="C74" s="4">
        <f>-846-6354</f>
        <v>-7200</v>
      </c>
      <c r="D74" s="5" t="s">
        <v>178</v>
      </c>
      <c r="E74" s="5" t="s">
        <v>179</v>
      </c>
      <c r="F74" s="5" t="s">
        <v>20</v>
      </c>
      <c r="G74" s="4" t="s">
        <v>14</v>
      </c>
    </row>
    <row r="75" spans="1:7" ht="12.75">
      <c r="A75" s="4">
        <v>74</v>
      </c>
      <c r="B75" s="5" t="s">
        <v>155</v>
      </c>
      <c r="C75" s="4">
        <f>249-6040</f>
        <v>-5791</v>
      </c>
      <c r="D75" s="5" t="s">
        <v>180</v>
      </c>
      <c r="E75" s="5" t="s">
        <v>181</v>
      </c>
      <c r="F75" s="5" t="s">
        <v>20</v>
      </c>
      <c r="G75" s="4" t="s">
        <v>14</v>
      </c>
    </row>
    <row r="76" spans="1:7" ht="12.75">
      <c r="A76" s="4">
        <v>75</v>
      </c>
      <c r="B76" s="5" t="s">
        <v>155</v>
      </c>
      <c r="C76" s="4">
        <f>-308-6001</f>
        <v>-6309</v>
      </c>
      <c r="D76" s="5" t="s">
        <v>182</v>
      </c>
      <c r="E76" s="5" t="s">
        <v>183</v>
      </c>
      <c r="F76" s="5" t="s">
        <v>20</v>
      </c>
      <c r="G76" s="4" t="s">
        <v>14</v>
      </c>
    </row>
    <row r="77" spans="1:7" ht="12.75">
      <c r="A77" s="4">
        <v>76</v>
      </c>
      <c r="B77" s="5" t="s">
        <v>155</v>
      </c>
      <c r="C77" s="4">
        <f>-640-6952</f>
        <v>-7592</v>
      </c>
      <c r="D77" s="5" t="s">
        <v>184</v>
      </c>
      <c r="E77" s="5" t="s">
        <v>185</v>
      </c>
      <c r="F77" s="5" t="s">
        <v>20</v>
      </c>
      <c r="G77" s="4" t="s">
        <v>14</v>
      </c>
    </row>
    <row r="78" spans="1:7" ht="12.75">
      <c r="A78" s="4">
        <v>77</v>
      </c>
      <c r="B78" s="5" t="s">
        <v>155</v>
      </c>
      <c r="C78" s="4">
        <f>-958-6748</f>
        <v>-7706</v>
      </c>
      <c r="D78" s="5" t="s">
        <v>186</v>
      </c>
      <c r="E78" s="5" t="s">
        <v>187</v>
      </c>
      <c r="F78" s="5" t="s">
        <v>20</v>
      </c>
      <c r="G78" s="4" t="s">
        <v>14</v>
      </c>
    </row>
    <row r="79" spans="1:7" ht="12.75">
      <c r="A79" s="4">
        <v>78</v>
      </c>
      <c r="B79" s="5" t="s">
        <v>188</v>
      </c>
      <c r="C79" s="4">
        <f>2505-7721</f>
        <v>-5216</v>
      </c>
      <c r="D79" s="5" t="s">
        <v>189</v>
      </c>
      <c r="E79" s="4"/>
      <c r="F79" s="5" t="s">
        <v>190</v>
      </c>
      <c r="G79" s="5" t="s">
        <v>20</v>
      </c>
    </row>
    <row r="80" spans="1:7" ht="12.75">
      <c r="A80" s="4">
        <v>79</v>
      </c>
      <c r="B80" s="5" t="s">
        <v>191</v>
      </c>
      <c r="C80" s="4">
        <f>2728+8939</f>
        <v>11667</v>
      </c>
      <c r="D80" s="5" t="s">
        <v>192</v>
      </c>
      <c r="E80" s="4"/>
      <c r="F80" s="5" t="s">
        <v>46</v>
      </c>
      <c r="G80" s="4" t="s">
        <v>14</v>
      </c>
    </row>
    <row r="81" spans="1:7" ht="12.75">
      <c r="A81" s="4">
        <v>80</v>
      </c>
      <c r="B81" s="5" t="s">
        <v>193</v>
      </c>
      <c r="C81" s="4">
        <f>-2439+2555</f>
        <v>116</v>
      </c>
      <c r="D81" s="5" t="s">
        <v>194</v>
      </c>
      <c r="E81" s="4"/>
      <c r="F81" s="5" t="s">
        <v>10</v>
      </c>
      <c r="G81" s="4" t="s">
        <v>14</v>
      </c>
    </row>
    <row r="82" spans="1:7" ht="12.75">
      <c r="A82" s="4">
        <v>81</v>
      </c>
      <c r="B82" s="5" t="s">
        <v>195</v>
      </c>
      <c r="C82" s="4">
        <f>5354+2734</f>
        <v>8088</v>
      </c>
      <c r="D82" s="5" t="s">
        <v>196</v>
      </c>
      <c r="E82" s="4"/>
      <c r="F82" s="5" t="s">
        <v>61</v>
      </c>
      <c r="G82" s="4" t="s">
        <v>14</v>
      </c>
    </row>
    <row r="83" spans="1:7" ht="12.75">
      <c r="A83" s="4">
        <v>82</v>
      </c>
      <c r="B83" s="5" t="s">
        <v>197</v>
      </c>
      <c r="C83" s="4">
        <f>1730-8812</f>
        <v>-7082</v>
      </c>
      <c r="D83" s="5" t="s">
        <v>198</v>
      </c>
      <c r="E83" s="4"/>
      <c r="F83" s="5" t="s">
        <v>199</v>
      </c>
      <c r="G83" s="4" t="s">
        <v>14</v>
      </c>
    </row>
    <row r="84" spans="1:7" ht="12.75">
      <c r="A84" s="4">
        <v>83</v>
      </c>
      <c r="B84" s="5" t="s">
        <v>200</v>
      </c>
      <c r="C84" s="4">
        <f>4734-5243</f>
        <v>-509</v>
      </c>
      <c r="D84" s="5" t="s">
        <v>201</v>
      </c>
      <c r="E84" s="7" t="s">
        <v>202</v>
      </c>
      <c r="F84" s="5" t="s">
        <v>203</v>
      </c>
      <c r="G84" s="5" t="s">
        <v>204</v>
      </c>
    </row>
    <row r="85" spans="1:7" ht="12.75">
      <c r="A85" s="4">
        <v>84</v>
      </c>
      <c r="B85" s="5" t="s">
        <v>200</v>
      </c>
      <c r="C85" s="4">
        <f>4439-6336</f>
        <v>-1897</v>
      </c>
      <c r="D85" s="5" t="s">
        <v>205</v>
      </c>
      <c r="E85" s="7" t="s">
        <v>206</v>
      </c>
      <c r="F85" s="5" t="s">
        <v>20</v>
      </c>
      <c r="G85" s="5" t="s">
        <v>41</v>
      </c>
    </row>
    <row r="86" spans="1:7" ht="12.75">
      <c r="A86" s="4">
        <v>85</v>
      </c>
      <c r="B86" s="5" t="s">
        <v>200</v>
      </c>
      <c r="C86" s="4">
        <f>4612-5957</f>
        <v>-1345</v>
      </c>
      <c r="D86" s="5" t="s">
        <v>207</v>
      </c>
      <c r="E86" s="7" t="s">
        <v>208</v>
      </c>
      <c r="F86" s="5" t="s">
        <v>20</v>
      </c>
      <c r="G86" s="5" t="s">
        <v>41</v>
      </c>
    </row>
    <row r="87" spans="1:7" ht="12.75">
      <c r="A87" s="4">
        <v>86</v>
      </c>
      <c r="B87" s="5" t="s">
        <v>200</v>
      </c>
      <c r="C87" s="4">
        <f>4606-6447</f>
        <v>-1841</v>
      </c>
      <c r="D87" s="5" t="s">
        <v>209</v>
      </c>
      <c r="E87" s="7" t="s">
        <v>210</v>
      </c>
      <c r="F87" s="5" t="s">
        <v>20</v>
      </c>
      <c r="G87" s="5" t="s">
        <v>41</v>
      </c>
    </row>
    <row r="88" spans="1:7" ht="12.75">
      <c r="A88" s="4">
        <v>87</v>
      </c>
      <c r="B88" s="5" t="s">
        <v>200</v>
      </c>
      <c r="C88" s="4">
        <f>5320-6025</f>
        <v>-705</v>
      </c>
      <c r="D88" s="5" t="s">
        <v>211</v>
      </c>
      <c r="E88" s="7" t="s">
        <v>212</v>
      </c>
      <c r="F88" s="5" t="s">
        <v>20</v>
      </c>
      <c r="G88" s="5" t="s">
        <v>41</v>
      </c>
    </row>
    <row r="89" spans="1:7" ht="12.75">
      <c r="A89" s="4">
        <v>88</v>
      </c>
      <c r="B89" s="5" t="s">
        <v>200</v>
      </c>
      <c r="C89" s="4">
        <f>5125-5707</f>
        <v>-582</v>
      </c>
      <c r="D89" s="5" t="s">
        <v>213</v>
      </c>
      <c r="E89" s="7" t="s">
        <v>214</v>
      </c>
      <c r="F89" s="5" t="s">
        <v>20</v>
      </c>
      <c r="G89" s="4" t="s">
        <v>14</v>
      </c>
    </row>
    <row r="90" spans="1:7" ht="12.75">
      <c r="A90" s="4">
        <v>89</v>
      </c>
      <c r="B90" s="5" t="s">
        <v>200</v>
      </c>
      <c r="C90" s="4">
        <f>4531-7334</f>
        <v>-2803</v>
      </c>
      <c r="D90" s="5" t="s">
        <v>215</v>
      </c>
      <c r="E90" s="7" t="s">
        <v>216</v>
      </c>
      <c r="F90" s="5" t="s">
        <v>190</v>
      </c>
      <c r="G90" s="5" t="s">
        <v>20</v>
      </c>
    </row>
    <row r="91" spans="1:7" ht="12.75">
      <c r="A91" s="4">
        <v>90</v>
      </c>
      <c r="B91" s="5" t="s">
        <v>200</v>
      </c>
      <c r="C91" s="4">
        <f>4339-7923</f>
        <v>-3584</v>
      </c>
      <c r="D91" s="5" t="s">
        <v>217</v>
      </c>
      <c r="E91" s="7" t="s">
        <v>218</v>
      </c>
      <c r="F91" s="5" t="s">
        <v>190</v>
      </c>
      <c r="G91" s="5" t="s">
        <v>20</v>
      </c>
    </row>
    <row r="92" spans="1:7" ht="12.75">
      <c r="A92" s="4">
        <v>91</v>
      </c>
      <c r="B92" s="5" t="s">
        <v>200</v>
      </c>
      <c r="C92" s="4">
        <f>4901-8816</f>
        <v>-3915</v>
      </c>
      <c r="D92" s="5" t="s">
        <v>219</v>
      </c>
      <c r="E92" s="7" t="s">
        <v>220</v>
      </c>
      <c r="F92" s="5" t="s">
        <v>190</v>
      </c>
      <c r="G92" s="5" t="s">
        <v>20</v>
      </c>
    </row>
    <row r="93" spans="1:7" ht="12.75">
      <c r="A93" s="4">
        <v>92</v>
      </c>
      <c r="B93" s="5" t="s">
        <v>200</v>
      </c>
      <c r="C93" s="4">
        <f>4823-8915</f>
        <v>-4092</v>
      </c>
      <c r="D93" s="5" t="s">
        <v>221</v>
      </c>
      <c r="E93" s="7" t="s">
        <v>222</v>
      </c>
      <c r="F93" s="5" t="s">
        <v>190</v>
      </c>
      <c r="G93" s="5" t="s">
        <v>20</v>
      </c>
    </row>
    <row r="94" spans="1:7" ht="12.75">
      <c r="A94" s="4">
        <v>93</v>
      </c>
      <c r="B94" s="5" t="s">
        <v>200</v>
      </c>
      <c r="C94" s="4">
        <f>6344-6828</f>
        <v>-484</v>
      </c>
      <c r="D94" s="5" t="s">
        <v>223</v>
      </c>
      <c r="E94" s="7" t="s">
        <v>224</v>
      </c>
      <c r="F94" s="5" t="s">
        <v>190</v>
      </c>
      <c r="G94" s="5" t="s">
        <v>20</v>
      </c>
    </row>
    <row r="95" spans="1:7" ht="12.75">
      <c r="A95" s="4">
        <v>94</v>
      </c>
      <c r="B95" s="5" t="s">
        <v>200</v>
      </c>
      <c r="C95" s="4">
        <f>6608-6544</f>
        <v>64</v>
      </c>
      <c r="D95" s="5" t="s">
        <v>225</v>
      </c>
      <c r="E95" s="7" t="s">
        <v>226</v>
      </c>
      <c r="F95" s="5" t="s">
        <v>190</v>
      </c>
      <c r="G95" s="5" t="s">
        <v>20</v>
      </c>
    </row>
    <row r="96" spans="1:7" ht="12.75">
      <c r="A96" s="4">
        <v>95</v>
      </c>
      <c r="B96" s="5" t="s">
        <v>200</v>
      </c>
      <c r="C96" s="4">
        <f>744144-944945</f>
        <v>-200801</v>
      </c>
      <c r="D96" s="5" t="s">
        <v>227</v>
      </c>
      <c r="E96" s="7" t="s">
        <v>228</v>
      </c>
      <c r="F96" s="5" t="s">
        <v>190</v>
      </c>
      <c r="G96" s="5" t="s">
        <v>20</v>
      </c>
    </row>
    <row r="97" spans="1:7" ht="12.75">
      <c r="A97" s="4">
        <v>96</v>
      </c>
      <c r="B97" s="5" t="s">
        <v>200</v>
      </c>
      <c r="C97" s="4">
        <f>484531-913718</f>
        <v>-429187</v>
      </c>
      <c r="D97" s="5" t="s">
        <v>229</v>
      </c>
      <c r="E97" s="7" t="s">
        <v>230</v>
      </c>
      <c r="F97" s="5" t="s">
        <v>190</v>
      </c>
      <c r="G97" s="4" t="s">
        <v>14</v>
      </c>
    </row>
    <row r="98" spans="1:7" ht="12.75">
      <c r="A98" s="4">
        <v>97</v>
      </c>
      <c r="B98" s="5" t="s">
        <v>200</v>
      </c>
      <c r="C98" s="4">
        <f>624900-920459</f>
        <v>-295559</v>
      </c>
      <c r="D98" s="5" t="s">
        <v>231</v>
      </c>
      <c r="E98" s="7" t="s">
        <v>232</v>
      </c>
      <c r="F98" s="5" t="s">
        <v>199</v>
      </c>
      <c r="G98" s="5" t="s">
        <v>190</v>
      </c>
    </row>
    <row r="99" spans="1:7" ht="12.75">
      <c r="A99" s="4">
        <v>98</v>
      </c>
      <c r="B99" s="5" t="s">
        <v>200</v>
      </c>
      <c r="C99" s="4">
        <f>4953-9709</f>
        <v>-4756</v>
      </c>
      <c r="D99" s="5" t="s">
        <v>233</v>
      </c>
      <c r="E99" s="7" t="s">
        <v>234</v>
      </c>
      <c r="F99" s="5" t="s">
        <v>199</v>
      </c>
      <c r="G99" s="5" t="s">
        <v>190</v>
      </c>
    </row>
    <row r="100" spans="1:7" ht="12.75">
      <c r="A100" s="4">
        <v>99</v>
      </c>
      <c r="B100" s="5" t="s">
        <v>200</v>
      </c>
      <c r="C100" s="4">
        <f>4843-9434</f>
        <v>-4591</v>
      </c>
      <c r="D100" s="5" t="s">
        <v>235</v>
      </c>
      <c r="E100" s="7" t="s">
        <v>236</v>
      </c>
      <c r="F100" s="5" t="s">
        <v>199</v>
      </c>
      <c r="G100" s="5" t="s">
        <v>190</v>
      </c>
    </row>
    <row r="101" spans="1:7" ht="12.75">
      <c r="A101" s="4">
        <v>100</v>
      </c>
      <c r="B101" s="5" t="s">
        <v>200</v>
      </c>
      <c r="C101" s="4">
        <f>5024-10439</f>
        <v>-5415</v>
      </c>
      <c r="D101" s="5" t="s">
        <v>237</v>
      </c>
      <c r="E101" s="7" t="s">
        <v>238</v>
      </c>
      <c r="F101" s="5" t="s">
        <v>199</v>
      </c>
      <c r="G101" s="4" t="s">
        <v>14</v>
      </c>
    </row>
    <row r="102" spans="1:7" ht="12.75">
      <c r="A102" s="4">
        <v>101</v>
      </c>
      <c r="B102" s="5" t="s">
        <v>200</v>
      </c>
      <c r="C102" s="4">
        <f>5017-10750</f>
        <v>-5733</v>
      </c>
      <c r="D102" s="5" t="s">
        <v>239</v>
      </c>
      <c r="E102" s="7" t="s">
        <v>240</v>
      </c>
      <c r="F102" s="5" t="s">
        <v>199</v>
      </c>
      <c r="G102" s="4" t="s">
        <v>14</v>
      </c>
    </row>
    <row r="103" spans="1:7" ht="12.75">
      <c r="A103" s="4">
        <v>102</v>
      </c>
      <c r="B103" s="5" t="s">
        <v>200</v>
      </c>
      <c r="C103" s="4">
        <f>5333-11328</f>
        <v>-5995</v>
      </c>
      <c r="D103" s="5" t="s">
        <v>241</v>
      </c>
      <c r="E103" s="7" t="s">
        <v>242</v>
      </c>
      <c r="F103" s="5" t="s">
        <v>243</v>
      </c>
      <c r="G103" s="5" t="s">
        <v>199</v>
      </c>
    </row>
    <row r="104" spans="1:7" ht="12.75">
      <c r="A104" s="4">
        <v>103</v>
      </c>
      <c r="B104" s="5" t="s">
        <v>200</v>
      </c>
      <c r="C104" s="4">
        <f>690650-1050310</f>
        <v>-359660</v>
      </c>
      <c r="D104" s="5" t="s">
        <v>244</v>
      </c>
      <c r="E104" s="7" t="s">
        <v>245</v>
      </c>
      <c r="F104" s="5" t="s">
        <v>243</v>
      </c>
      <c r="G104" s="5" t="s">
        <v>199</v>
      </c>
    </row>
    <row r="105" spans="1:7" ht="12.75">
      <c r="A105" s="4">
        <v>104</v>
      </c>
      <c r="B105" s="5" t="s">
        <v>200</v>
      </c>
      <c r="C105" s="4">
        <f>6227-11421</f>
        <v>-5194</v>
      </c>
      <c r="D105" s="5" t="s">
        <v>246</v>
      </c>
      <c r="E105" s="7" t="s">
        <v>247</v>
      </c>
      <c r="F105" s="5" t="s">
        <v>243</v>
      </c>
      <c r="G105" s="5" t="s">
        <v>199</v>
      </c>
    </row>
    <row r="106" spans="1:7" ht="12.75">
      <c r="A106" s="4">
        <v>105</v>
      </c>
      <c r="B106" s="5" t="s">
        <v>200</v>
      </c>
      <c r="C106" s="4">
        <f>682059-1334300</f>
        <v>-652241</v>
      </c>
      <c r="D106" s="5" t="s">
        <v>248</v>
      </c>
      <c r="E106" s="7" t="s">
        <v>249</v>
      </c>
      <c r="F106" s="5" t="s">
        <v>243</v>
      </c>
      <c r="G106" s="5" t="s">
        <v>199</v>
      </c>
    </row>
    <row r="107" spans="1:7" ht="12.75">
      <c r="A107" s="4">
        <v>106</v>
      </c>
      <c r="B107" s="5" t="s">
        <v>200</v>
      </c>
      <c r="C107" s="4">
        <f>5946-12014</f>
        <v>-6068</v>
      </c>
      <c r="D107" s="5" t="s">
        <v>250</v>
      </c>
      <c r="E107" s="7" t="s">
        <v>251</v>
      </c>
      <c r="F107" s="5" t="s">
        <v>243</v>
      </c>
      <c r="G107" s="4" t="s">
        <v>14</v>
      </c>
    </row>
    <row r="108" spans="1:7" ht="12.75">
      <c r="A108" s="4">
        <v>107</v>
      </c>
      <c r="B108" s="5" t="s">
        <v>200</v>
      </c>
      <c r="C108" s="4">
        <f>4916-12307</f>
        <v>-7391</v>
      </c>
      <c r="D108" s="5" t="s">
        <v>252</v>
      </c>
      <c r="E108" s="7" t="s">
        <v>253</v>
      </c>
      <c r="F108" s="5" t="s">
        <v>254</v>
      </c>
      <c r="G108" s="5" t="s">
        <v>243</v>
      </c>
    </row>
    <row r="109" spans="1:7" ht="12.75">
      <c r="A109" s="4">
        <v>108</v>
      </c>
      <c r="B109" s="5" t="s">
        <v>200</v>
      </c>
      <c r="C109" s="4">
        <f>6043-13503</f>
        <v>-7460</v>
      </c>
      <c r="D109" s="5" t="s">
        <v>255</v>
      </c>
      <c r="E109" s="7" t="s">
        <v>256</v>
      </c>
      <c r="F109" s="5" t="s">
        <v>254</v>
      </c>
      <c r="G109" s="5" t="s">
        <v>243</v>
      </c>
    </row>
    <row r="110" spans="1:7" ht="12.75">
      <c r="A110" s="4">
        <v>109</v>
      </c>
      <c r="B110" s="5" t="s">
        <v>200</v>
      </c>
      <c r="C110" s="4">
        <f>6404-13925</f>
        <v>-7521</v>
      </c>
      <c r="D110" s="5" t="s">
        <v>257</v>
      </c>
      <c r="E110" s="7" t="s">
        <v>258</v>
      </c>
      <c r="F110" s="5" t="s">
        <v>254</v>
      </c>
      <c r="G110" s="5" t="s">
        <v>243</v>
      </c>
    </row>
    <row r="111" spans="1:7" ht="12.75">
      <c r="A111" s="4">
        <v>110</v>
      </c>
      <c r="B111" s="5" t="s">
        <v>259</v>
      </c>
      <c r="C111" s="4">
        <f>-1210+9655</f>
        <v>8445</v>
      </c>
      <c r="D111" s="5" t="s">
        <v>260</v>
      </c>
      <c r="E111" s="4"/>
      <c r="F111" s="5" t="s">
        <v>261</v>
      </c>
      <c r="G111" s="4" t="s">
        <v>14</v>
      </c>
    </row>
    <row r="112" spans="1:7" ht="12.75">
      <c r="A112" s="4">
        <v>111</v>
      </c>
      <c r="B112" s="5" t="s">
        <v>262</v>
      </c>
      <c r="C112" s="4">
        <f>-418+1518</f>
        <v>1100</v>
      </c>
      <c r="D112" s="5" t="s">
        <v>263</v>
      </c>
      <c r="E112" s="5" t="s">
        <v>264</v>
      </c>
      <c r="F112" s="5" t="s">
        <v>9</v>
      </c>
      <c r="G112" s="4" t="s">
        <v>14</v>
      </c>
    </row>
    <row r="113" spans="1:7" ht="12.75">
      <c r="A113" s="4">
        <v>112</v>
      </c>
      <c r="B113" s="5" t="s">
        <v>262</v>
      </c>
      <c r="C113" s="4">
        <f>-1140+2728</f>
        <v>1588</v>
      </c>
      <c r="D113" s="5" t="s">
        <v>265</v>
      </c>
      <c r="E113" s="5" t="s">
        <v>266</v>
      </c>
      <c r="F113" s="5" t="s">
        <v>10</v>
      </c>
      <c r="G113" s="4" t="s">
        <v>14</v>
      </c>
    </row>
    <row r="114" spans="1:7" ht="12.75">
      <c r="A114" s="4">
        <v>113</v>
      </c>
      <c r="B114" s="5" t="s">
        <v>267</v>
      </c>
      <c r="C114" s="4">
        <f>422+1835</f>
        <v>2257</v>
      </c>
      <c r="D114" s="5" t="s">
        <v>268</v>
      </c>
      <c r="E114" s="4"/>
      <c r="F114" s="5" t="s">
        <v>9</v>
      </c>
      <c r="G114" s="4" t="s">
        <v>14</v>
      </c>
    </row>
    <row r="115" spans="1:7" ht="12.75">
      <c r="A115" s="4">
        <v>114</v>
      </c>
      <c r="B115" s="5" t="s">
        <v>269</v>
      </c>
      <c r="C115" s="4">
        <f>-416+1517</f>
        <v>1101</v>
      </c>
      <c r="D115" s="5" t="s">
        <v>270</v>
      </c>
      <c r="E115" s="4"/>
      <c r="F115" s="5" t="s">
        <v>9</v>
      </c>
      <c r="G115" s="4" t="s">
        <v>14</v>
      </c>
    </row>
    <row r="116" spans="1:7" ht="12.75">
      <c r="A116" s="4">
        <v>115</v>
      </c>
      <c r="B116" s="5" t="s">
        <v>271</v>
      </c>
      <c r="C116" s="4">
        <f>4723+832</f>
        <v>5555</v>
      </c>
      <c r="D116" s="5" t="s">
        <v>272</v>
      </c>
      <c r="E116" s="4"/>
      <c r="F116" s="5" t="s">
        <v>9</v>
      </c>
      <c r="G116" s="5" t="s">
        <v>10</v>
      </c>
    </row>
    <row r="117" spans="1:7" ht="12.75">
      <c r="A117" s="4">
        <v>116</v>
      </c>
      <c r="B117" s="5" t="s">
        <v>273</v>
      </c>
      <c r="C117" s="4">
        <f>519-402</f>
        <v>117</v>
      </c>
      <c r="D117" s="5" t="s">
        <v>274</v>
      </c>
      <c r="E117" s="4"/>
      <c r="F117" s="5" t="s">
        <v>55</v>
      </c>
      <c r="G117" s="4" t="s">
        <v>14</v>
      </c>
    </row>
    <row r="118" spans="1:7" ht="12.75">
      <c r="A118" s="4">
        <v>117</v>
      </c>
      <c r="B118" s="5" t="s">
        <v>275</v>
      </c>
      <c r="C118" s="4">
        <f>-2114-15946</f>
        <v>-18060</v>
      </c>
      <c r="D118" s="5" t="s">
        <v>276</v>
      </c>
      <c r="E118" s="4"/>
      <c r="F118" s="5" t="s">
        <v>277</v>
      </c>
      <c r="G118" s="4" t="s">
        <v>14</v>
      </c>
    </row>
    <row r="119" spans="1:7" ht="12.75">
      <c r="A119" s="4">
        <v>118</v>
      </c>
      <c r="B119" s="5" t="s">
        <v>278</v>
      </c>
      <c r="C119" s="4">
        <f>-3327-7040</f>
        <v>-10367</v>
      </c>
      <c r="D119" s="5" t="s">
        <v>279</v>
      </c>
      <c r="E119" s="5" t="s">
        <v>280</v>
      </c>
      <c r="F119" s="5" t="s">
        <v>20</v>
      </c>
      <c r="G119" s="5" t="s">
        <v>41</v>
      </c>
    </row>
    <row r="120" spans="1:7" ht="12.75">
      <c r="A120" s="4">
        <v>119</v>
      </c>
      <c r="B120" s="5" t="s">
        <v>278</v>
      </c>
      <c r="C120" s="4">
        <f>-2709-10926</f>
        <v>-13635</v>
      </c>
      <c r="D120" s="5" t="s">
        <v>281</v>
      </c>
      <c r="E120" s="7" t="s">
        <v>282</v>
      </c>
      <c r="F120" s="5" t="s">
        <v>199</v>
      </c>
      <c r="G120" s="5" t="s">
        <v>190</v>
      </c>
    </row>
    <row r="121" spans="1:7" ht="12.75">
      <c r="A121" s="4">
        <v>120</v>
      </c>
      <c r="B121" s="5" t="s">
        <v>283</v>
      </c>
      <c r="C121" s="4">
        <f>403+942</f>
        <v>1345</v>
      </c>
      <c r="D121" s="5" t="s">
        <v>284</v>
      </c>
      <c r="E121" s="4"/>
      <c r="F121" s="5" t="s">
        <v>9</v>
      </c>
      <c r="G121" s="4" t="s">
        <v>14</v>
      </c>
    </row>
    <row r="122" spans="1:7" ht="12.75">
      <c r="A122" s="4">
        <v>121</v>
      </c>
      <c r="B122" s="5" t="s">
        <v>285</v>
      </c>
      <c r="C122" s="4">
        <f>3114+12128</f>
        <v>15242</v>
      </c>
      <c r="D122" s="5" t="s">
        <v>286</v>
      </c>
      <c r="E122" s="7" t="s">
        <v>287</v>
      </c>
      <c r="F122" s="5" t="s">
        <v>52</v>
      </c>
      <c r="G122" s="4" t="s">
        <v>14</v>
      </c>
    </row>
    <row r="123" spans="1:7" ht="12.75">
      <c r="A123" s="4">
        <v>122</v>
      </c>
      <c r="B123" s="5" t="s">
        <v>285</v>
      </c>
      <c r="C123" s="4">
        <f>4545+12641</f>
        <v>17186</v>
      </c>
      <c r="D123" s="5" t="s">
        <v>288</v>
      </c>
      <c r="E123" s="7" t="s">
        <v>289</v>
      </c>
      <c r="F123" s="5" t="s">
        <v>52</v>
      </c>
      <c r="G123" s="4" t="s">
        <v>14</v>
      </c>
    </row>
    <row r="124" spans="1:7" ht="12.75">
      <c r="A124" s="4">
        <v>123</v>
      </c>
      <c r="B124" s="5" t="s">
        <v>285</v>
      </c>
      <c r="C124" s="4">
        <f>2934+10635</f>
        <v>13569</v>
      </c>
      <c r="D124" s="5" t="s">
        <v>290</v>
      </c>
      <c r="E124" s="7" t="s">
        <v>291</v>
      </c>
      <c r="F124" s="5" t="s">
        <v>52</v>
      </c>
      <c r="G124" s="4" t="s">
        <v>14</v>
      </c>
    </row>
    <row r="125" spans="1:7" ht="12.75">
      <c r="A125" s="4">
        <v>124</v>
      </c>
      <c r="B125" s="5" t="s">
        <v>285</v>
      </c>
      <c r="C125" s="4">
        <f>4348+8735</f>
        <v>13083</v>
      </c>
      <c r="D125" s="5" t="s">
        <v>292</v>
      </c>
      <c r="E125" s="4" t="s">
        <v>293</v>
      </c>
      <c r="F125" s="5" t="s">
        <v>52</v>
      </c>
      <c r="G125" s="4" t="s">
        <v>14</v>
      </c>
    </row>
    <row r="126" spans="1:7" ht="12.75">
      <c r="A126" s="4">
        <v>125</v>
      </c>
      <c r="B126" s="5" t="s">
        <v>285</v>
      </c>
      <c r="C126" s="4">
        <f>3929+7559</f>
        <v>11488</v>
      </c>
      <c r="D126" s="5" t="s">
        <v>294</v>
      </c>
      <c r="E126" s="4" t="s">
        <v>295</v>
      </c>
      <c r="F126" s="5" t="s">
        <v>52</v>
      </c>
      <c r="G126" s="4" t="s">
        <v>14</v>
      </c>
    </row>
    <row r="127" spans="1:7" ht="12.75">
      <c r="A127" s="4">
        <v>126</v>
      </c>
      <c r="B127" s="5" t="s">
        <v>296</v>
      </c>
      <c r="C127" s="4">
        <f>436-7405</f>
        <v>-6969</v>
      </c>
      <c r="D127" s="5" t="s">
        <v>297</v>
      </c>
      <c r="E127" s="4"/>
      <c r="F127" s="5" t="s">
        <v>190</v>
      </c>
      <c r="G127" s="4" t="s">
        <v>14</v>
      </c>
    </row>
    <row r="128" spans="1:7" ht="12.75">
      <c r="A128" s="4">
        <v>127</v>
      </c>
      <c r="B128" s="5" t="s">
        <v>298</v>
      </c>
      <c r="C128" s="4">
        <f>956-8405</f>
        <v>-7449</v>
      </c>
      <c r="D128" s="5" t="s">
        <v>299</v>
      </c>
      <c r="E128" s="4"/>
      <c r="F128" s="5" t="s">
        <v>199</v>
      </c>
      <c r="G128" s="4" t="s">
        <v>14</v>
      </c>
    </row>
    <row r="129" spans="1:7" ht="12.75">
      <c r="A129" s="4">
        <v>128</v>
      </c>
      <c r="B129" s="5" t="s">
        <v>300</v>
      </c>
      <c r="C129" s="4">
        <f>2308-8222</f>
        <v>-5914</v>
      </c>
      <c r="D129" s="5" t="s">
        <v>301</v>
      </c>
      <c r="E129" s="4"/>
      <c r="F129" s="5" t="s">
        <v>190</v>
      </c>
      <c r="G129" s="5" t="s">
        <v>20</v>
      </c>
    </row>
    <row r="130" spans="1:7" ht="12.75">
      <c r="A130" s="4">
        <v>129</v>
      </c>
      <c r="B130" s="5" t="s">
        <v>302</v>
      </c>
      <c r="C130" s="4">
        <f>1455-2331</f>
        <v>-876</v>
      </c>
      <c r="D130" s="5" t="s">
        <v>303</v>
      </c>
      <c r="E130" s="4"/>
      <c r="F130" s="5" t="s">
        <v>304</v>
      </c>
      <c r="G130" s="4" t="s">
        <v>14</v>
      </c>
    </row>
    <row r="131" spans="1:7" ht="12.75">
      <c r="A131" s="4">
        <v>130</v>
      </c>
      <c r="B131" s="5" t="s">
        <v>305</v>
      </c>
      <c r="C131" s="4">
        <f>-1025+10543</f>
        <v>9518</v>
      </c>
      <c r="D131" s="5" t="s">
        <v>306</v>
      </c>
      <c r="E131" s="4"/>
      <c r="F131" s="5" t="s">
        <v>49</v>
      </c>
      <c r="G131" s="4" t="s">
        <v>14</v>
      </c>
    </row>
    <row r="132" spans="1:7" ht="12.75">
      <c r="A132" s="4">
        <v>131</v>
      </c>
      <c r="B132" s="5" t="s">
        <v>307</v>
      </c>
      <c r="C132" s="4">
        <f>3510+3322</f>
        <v>6832</v>
      </c>
      <c r="D132" s="5" t="s">
        <v>308</v>
      </c>
      <c r="E132" s="4"/>
      <c r="F132" s="5" t="s">
        <v>10</v>
      </c>
      <c r="G132" s="5" t="s">
        <v>61</v>
      </c>
    </row>
    <row r="133" spans="1:7" ht="12.75">
      <c r="A133" s="4">
        <v>132</v>
      </c>
      <c r="B133" s="5" t="s">
        <v>309</v>
      </c>
      <c r="C133" s="4">
        <f>5005+1426</f>
        <v>6431</v>
      </c>
      <c r="D133" s="5" t="s">
        <v>310</v>
      </c>
      <c r="E133" s="4"/>
      <c r="F133" s="5" t="s">
        <v>9</v>
      </c>
      <c r="G133" s="5" t="s">
        <v>10</v>
      </c>
    </row>
    <row r="134" spans="1:7" ht="12.75">
      <c r="A134" s="4">
        <v>133</v>
      </c>
      <c r="B134" s="5" t="s">
        <v>311</v>
      </c>
      <c r="C134" s="4">
        <f>5230+1322</f>
        <v>6552</v>
      </c>
      <c r="D134" s="5" t="s">
        <v>312</v>
      </c>
      <c r="E134" s="4"/>
      <c r="F134" s="5" t="s">
        <v>9</v>
      </c>
      <c r="G134" s="5" t="s">
        <v>10</v>
      </c>
    </row>
    <row r="135" spans="1:7" ht="12.75">
      <c r="A135" s="4">
        <v>134</v>
      </c>
      <c r="B135" s="5" t="s">
        <v>313</v>
      </c>
      <c r="C135" s="4">
        <f>1136+4309</f>
        <v>5445</v>
      </c>
      <c r="D135" s="5" t="s">
        <v>314</v>
      </c>
      <c r="E135" s="4"/>
      <c r="F135" s="5" t="s">
        <v>61</v>
      </c>
      <c r="G135" s="4" t="s">
        <v>14</v>
      </c>
    </row>
    <row r="136" spans="1:7" ht="12.75">
      <c r="A136" s="4">
        <v>135</v>
      </c>
      <c r="B136" s="5" t="s">
        <v>315</v>
      </c>
      <c r="C136" s="4">
        <f>5540+1235</f>
        <v>6775</v>
      </c>
      <c r="D136" s="5" t="s">
        <v>316</v>
      </c>
      <c r="E136" s="4"/>
      <c r="F136" s="5" t="s">
        <v>9</v>
      </c>
      <c r="G136" s="5" t="s">
        <v>10</v>
      </c>
    </row>
    <row r="137" spans="1:7" ht="12.75">
      <c r="A137" s="4">
        <v>136</v>
      </c>
      <c r="B137" s="5" t="s">
        <v>317</v>
      </c>
      <c r="C137" s="4">
        <f>1518-6124</f>
        <v>-4606</v>
      </c>
      <c r="D137" s="5" t="s">
        <v>318</v>
      </c>
      <c r="E137" s="4"/>
      <c r="F137" s="5" t="s">
        <v>20</v>
      </c>
      <c r="G137" s="4" t="s">
        <v>14</v>
      </c>
    </row>
    <row r="138" spans="1:7" ht="12.75">
      <c r="A138" s="4">
        <v>137</v>
      </c>
      <c r="B138" s="5" t="s">
        <v>319</v>
      </c>
      <c r="C138" s="4">
        <f>1828-6954</f>
        <v>-5126</v>
      </c>
      <c r="D138" s="5" t="s">
        <v>320</v>
      </c>
      <c r="E138" s="4"/>
      <c r="F138" s="5" t="s">
        <v>20</v>
      </c>
      <c r="G138" s="4" t="s">
        <v>14</v>
      </c>
    </row>
    <row r="139" spans="1:7" ht="12.75">
      <c r="A139" s="4">
        <v>138</v>
      </c>
      <c r="B139" s="5" t="s">
        <v>321</v>
      </c>
      <c r="C139" s="4">
        <f>3647+303</f>
        <v>3950</v>
      </c>
      <c r="D139" s="5" t="s">
        <v>322</v>
      </c>
      <c r="E139" s="4"/>
      <c r="F139" s="5" t="s">
        <v>9</v>
      </c>
      <c r="G139" s="4" t="s">
        <v>14</v>
      </c>
    </row>
    <row r="140" spans="1:7" ht="12.75">
      <c r="A140" s="4">
        <v>139</v>
      </c>
      <c r="B140" s="5" t="s">
        <v>323</v>
      </c>
      <c r="C140" s="4">
        <f>-210-7950</f>
        <v>-8160</v>
      </c>
      <c r="D140" s="5" t="s">
        <v>324</v>
      </c>
      <c r="E140" s="4" t="s">
        <v>325</v>
      </c>
      <c r="F140" s="5" t="s">
        <v>190</v>
      </c>
      <c r="G140" s="4" t="s">
        <v>14</v>
      </c>
    </row>
    <row r="141" spans="1:7" ht="12.75">
      <c r="A141" s="4">
        <v>140</v>
      </c>
      <c r="B141" s="5" t="s">
        <v>323</v>
      </c>
      <c r="C141" s="4">
        <f>-54-8936</f>
        <v>-8990</v>
      </c>
      <c r="D141" s="5" t="s">
        <v>326</v>
      </c>
      <c r="E141" s="5" t="s">
        <v>327</v>
      </c>
      <c r="F141" s="5" t="s">
        <v>199</v>
      </c>
      <c r="G141" s="4" t="s">
        <v>14</v>
      </c>
    </row>
    <row r="142" spans="1:7" ht="12.75">
      <c r="A142" s="4">
        <v>141</v>
      </c>
      <c r="B142" s="5" t="s">
        <v>328</v>
      </c>
      <c r="C142" s="4">
        <f>5925+2445</f>
        <v>8370</v>
      </c>
      <c r="D142" s="5" t="s">
        <v>329</v>
      </c>
      <c r="E142" s="4"/>
      <c r="F142" s="5" t="s">
        <v>10</v>
      </c>
      <c r="G142" s="5" t="s">
        <v>61</v>
      </c>
    </row>
    <row r="143" spans="1:7" ht="12.75">
      <c r="A143" s="4">
        <v>142</v>
      </c>
      <c r="B143" s="5" t="s">
        <v>330</v>
      </c>
      <c r="C143" s="4">
        <f>3003+3115</f>
        <v>6118</v>
      </c>
      <c r="D143" s="5" t="s">
        <v>331</v>
      </c>
      <c r="E143" s="4"/>
      <c r="F143" s="5" t="s">
        <v>10</v>
      </c>
      <c r="G143" s="4" t="s">
        <v>14</v>
      </c>
    </row>
    <row r="144" spans="1:7" ht="12.75">
      <c r="A144" s="4">
        <v>143</v>
      </c>
      <c r="B144" s="5" t="s">
        <v>332</v>
      </c>
      <c r="C144" s="4">
        <f>2709-1312</f>
        <v>1397</v>
      </c>
      <c r="D144" s="5" t="s">
        <v>333</v>
      </c>
      <c r="E144" s="4"/>
      <c r="F144" s="5" t="s">
        <v>55</v>
      </c>
      <c r="G144" s="4" t="s">
        <v>14</v>
      </c>
    </row>
    <row r="145" spans="1:7" ht="12.75">
      <c r="A145" s="4">
        <v>144</v>
      </c>
      <c r="B145" s="5" t="s">
        <v>334</v>
      </c>
      <c r="C145" s="4">
        <f>1520+3853</f>
        <v>5373</v>
      </c>
      <c r="D145" s="5" t="s">
        <v>335</v>
      </c>
      <c r="E145" s="4"/>
      <c r="F145" s="5" t="s">
        <v>61</v>
      </c>
      <c r="G145" s="4" t="s">
        <v>14</v>
      </c>
    </row>
    <row r="146" spans="1:7" ht="12.75">
      <c r="A146" s="4">
        <v>145</v>
      </c>
      <c r="B146" s="5" t="s">
        <v>336</v>
      </c>
      <c r="C146" s="4">
        <f>4024-341</f>
        <v>3683</v>
      </c>
      <c r="D146" s="5" t="s">
        <v>337</v>
      </c>
      <c r="E146" s="4" t="s">
        <v>325</v>
      </c>
      <c r="F146" s="5" t="s">
        <v>9</v>
      </c>
      <c r="G146" s="5" t="s">
        <v>10</v>
      </c>
    </row>
    <row r="147" spans="1:7" ht="12.75">
      <c r="A147" s="4">
        <v>146</v>
      </c>
      <c r="B147" s="5" t="s">
        <v>336</v>
      </c>
      <c r="C147" s="4">
        <f>3553-519</f>
        <v>3034</v>
      </c>
      <c r="D147" s="5" t="s">
        <v>338</v>
      </c>
      <c r="E147" s="7" t="s">
        <v>339</v>
      </c>
      <c r="F147" s="5" t="s">
        <v>9</v>
      </c>
      <c r="G147" s="5" t="s">
        <v>10</v>
      </c>
    </row>
    <row r="148" spans="1:7" ht="12.75">
      <c r="A148" s="4">
        <v>147</v>
      </c>
      <c r="B148" s="5" t="s">
        <v>336</v>
      </c>
      <c r="C148" s="4">
        <f>2806-1524</f>
        <v>1282</v>
      </c>
      <c r="D148" s="5" t="s">
        <v>340</v>
      </c>
      <c r="E148" s="5" t="s">
        <v>341</v>
      </c>
      <c r="F148" s="5" t="s">
        <v>55</v>
      </c>
      <c r="G148" s="5" t="s">
        <v>9</v>
      </c>
    </row>
    <row r="149" spans="1:7" ht="12.75">
      <c r="A149" s="4">
        <v>148</v>
      </c>
      <c r="B149" s="5" t="s">
        <v>342</v>
      </c>
      <c r="C149" s="4">
        <f>902+3842</f>
        <v>4744</v>
      </c>
      <c r="D149" s="5" t="s">
        <v>343</v>
      </c>
      <c r="E149" s="4"/>
      <c r="F149" s="5" t="s">
        <v>61</v>
      </c>
      <c r="G149" s="4" t="s">
        <v>14</v>
      </c>
    </row>
    <row r="150" spans="1:7" ht="12.75">
      <c r="A150" s="4">
        <v>149</v>
      </c>
      <c r="B150" s="5" t="s">
        <v>344</v>
      </c>
      <c r="C150" s="4">
        <f>6010+2458</f>
        <v>8468</v>
      </c>
      <c r="D150" s="5" t="s">
        <v>345</v>
      </c>
      <c r="E150" s="4"/>
      <c r="F150" s="5" t="s">
        <v>10</v>
      </c>
      <c r="G150" s="5" t="s">
        <v>61</v>
      </c>
    </row>
    <row r="151" spans="1:7" ht="12.75">
      <c r="A151" s="4">
        <v>150</v>
      </c>
      <c r="B151" s="5" t="s">
        <v>346</v>
      </c>
      <c r="C151" s="4">
        <f>-1808+17825</f>
        <v>16017</v>
      </c>
      <c r="D151" s="5" t="s">
        <v>347</v>
      </c>
      <c r="E151" s="4"/>
      <c r="F151" s="5" t="s">
        <v>35</v>
      </c>
      <c r="G151" s="5" t="s">
        <v>36</v>
      </c>
    </row>
    <row r="152" spans="1:7" ht="12.75">
      <c r="A152" s="4">
        <v>151</v>
      </c>
      <c r="B152" s="5" t="s">
        <v>348</v>
      </c>
      <c r="C152" s="4">
        <f>-5142-5751</f>
        <v>-10893</v>
      </c>
      <c r="D152" s="5" t="s">
        <v>349</v>
      </c>
      <c r="E152" s="4"/>
      <c r="F152" s="5" t="s">
        <v>41</v>
      </c>
      <c r="G152" s="4" t="s">
        <v>14</v>
      </c>
    </row>
    <row r="153" spans="1:7" ht="12.75">
      <c r="A153" s="4">
        <v>152</v>
      </c>
      <c r="B153" s="5" t="s">
        <v>350</v>
      </c>
      <c r="C153" s="4">
        <f>725+15147</f>
        <v>15872</v>
      </c>
      <c r="D153" s="5" t="s">
        <v>351</v>
      </c>
      <c r="E153" s="7" t="s">
        <v>352</v>
      </c>
      <c r="F153" s="5" t="s">
        <v>58</v>
      </c>
      <c r="G153" s="4" t="s">
        <v>14</v>
      </c>
    </row>
    <row r="154" spans="1:7" ht="12.75">
      <c r="A154" s="4">
        <v>153</v>
      </c>
      <c r="B154" s="5" t="s">
        <v>350</v>
      </c>
      <c r="C154" s="4">
        <f>658+15813</f>
        <v>16471</v>
      </c>
      <c r="D154" s="5" t="s">
        <v>353</v>
      </c>
      <c r="E154" s="5" t="s">
        <v>354</v>
      </c>
      <c r="F154" s="5" t="s">
        <v>97</v>
      </c>
      <c r="G154" s="4" t="s">
        <v>14</v>
      </c>
    </row>
    <row r="155" spans="1:7" ht="12.75">
      <c r="A155" s="4">
        <v>154</v>
      </c>
      <c r="B155" s="5" t="s">
        <v>350</v>
      </c>
      <c r="C155" s="4">
        <f>519+16259</f>
        <v>16778</v>
      </c>
      <c r="D155" s="5" t="s">
        <v>355</v>
      </c>
      <c r="E155" s="5" t="s">
        <v>356</v>
      </c>
      <c r="F155" s="5" t="s">
        <v>97</v>
      </c>
      <c r="G155" s="4" t="s">
        <v>14</v>
      </c>
    </row>
    <row r="156" spans="1:7" ht="12.75">
      <c r="A156" s="4">
        <v>155</v>
      </c>
      <c r="B156" s="5" t="s">
        <v>357</v>
      </c>
      <c r="C156" s="4">
        <f>6201-646</f>
        <v>5555</v>
      </c>
      <c r="D156" s="5" t="s">
        <v>358</v>
      </c>
      <c r="E156" s="4"/>
      <c r="F156" s="5" t="s">
        <v>55</v>
      </c>
      <c r="G156" s="5" t="s">
        <v>9</v>
      </c>
    </row>
    <row r="157" spans="1:7" ht="12.75">
      <c r="A157" s="4">
        <v>156</v>
      </c>
      <c r="B157" s="5" t="s">
        <v>359</v>
      </c>
      <c r="C157" s="4">
        <f>4852+220</f>
        <v>5072</v>
      </c>
      <c r="D157" s="5" t="s">
        <v>360</v>
      </c>
      <c r="E157" s="4"/>
      <c r="F157" s="5" t="s">
        <v>9</v>
      </c>
      <c r="G157" s="5" t="s">
        <v>10</v>
      </c>
    </row>
    <row r="158" spans="1:7" ht="12.75">
      <c r="A158" s="4">
        <v>157</v>
      </c>
      <c r="B158" s="5" t="s">
        <v>361</v>
      </c>
      <c r="C158" s="4">
        <f>23+927</f>
        <v>950</v>
      </c>
      <c r="D158" s="5" t="s">
        <v>362</v>
      </c>
      <c r="E158" s="4"/>
      <c r="F158" s="5" t="s">
        <v>9</v>
      </c>
      <c r="G158" s="4" t="s">
        <v>14</v>
      </c>
    </row>
    <row r="159" spans="1:7" ht="12.75">
      <c r="A159" s="4">
        <v>158</v>
      </c>
      <c r="B159" s="5" t="s">
        <v>363</v>
      </c>
      <c r="C159" s="4">
        <f>513030-731</f>
        <v>512299</v>
      </c>
      <c r="D159" s="5" t="s">
        <v>364</v>
      </c>
      <c r="E159" s="4"/>
      <c r="F159" s="5" t="s">
        <v>55</v>
      </c>
      <c r="G159" s="5" t="s">
        <v>9</v>
      </c>
    </row>
    <row r="160" spans="1:7" ht="12.75">
      <c r="A160" s="4">
        <v>159</v>
      </c>
      <c r="B160" s="5" t="s">
        <v>365</v>
      </c>
      <c r="C160" s="4">
        <f>1203-6145</f>
        <v>-4942</v>
      </c>
      <c r="D160" s="5" t="s">
        <v>366</v>
      </c>
      <c r="E160" s="4"/>
      <c r="F160" s="5" t="s">
        <v>20</v>
      </c>
      <c r="G160" s="4" t="s">
        <v>14</v>
      </c>
    </row>
    <row r="161" spans="1:7" ht="12.75">
      <c r="A161" s="4">
        <v>160</v>
      </c>
      <c r="B161" s="5" t="s">
        <v>367</v>
      </c>
      <c r="C161" s="4">
        <f>4143+4449</f>
        <v>8592</v>
      </c>
      <c r="D161" s="5" t="s">
        <v>368</v>
      </c>
      <c r="E161" s="4"/>
      <c r="F161" s="5" t="s">
        <v>13</v>
      </c>
      <c r="G161" s="4" t="s">
        <v>14</v>
      </c>
    </row>
    <row r="162" spans="1:7" ht="12.75">
      <c r="A162" s="4">
        <v>161</v>
      </c>
      <c r="B162" s="5" t="s">
        <v>369</v>
      </c>
      <c r="C162" s="4">
        <f>456-5220</f>
        <v>-4764</v>
      </c>
      <c r="D162" s="5" t="s">
        <v>370</v>
      </c>
      <c r="E162" s="4"/>
      <c r="F162" s="5" t="s">
        <v>41</v>
      </c>
      <c r="G162" s="4" t="s">
        <v>14</v>
      </c>
    </row>
    <row r="163" spans="1:7" ht="12.75">
      <c r="A163" s="4">
        <v>162</v>
      </c>
      <c r="B163" s="5" t="s">
        <v>371</v>
      </c>
      <c r="C163" s="4">
        <f>4927-232</f>
        <v>4695</v>
      </c>
      <c r="D163" s="5" t="s">
        <v>372</v>
      </c>
      <c r="E163" s="4"/>
      <c r="F163" s="5" t="s">
        <v>55</v>
      </c>
      <c r="G163" s="5" t="s">
        <v>9</v>
      </c>
    </row>
    <row r="164" spans="1:7" ht="12.75">
      <c r="A164" s="4">
        <v>163</v>
      </c>
      <c r="B164" s="5" t="s">
        <v>373</v>
      </c>
      <c r="C164" s="4">
        <f>533-13</f>
        <v>520</v>
      </c>
      <c r="D164" s="5" t="s">
        <v>374</v>
      </c>
      <c r="E164" s="4"/>
      <c r="F164" s="5" t="s">
        <v>55</v>
      </c>
      <c r="G164" s="4" t="s">
        <v>14</v>
      </c>
    </row>
    <row r="165" spans="1:7" ht="12.75">
      <c r="A165" s="4">
        <v>164</v>
      </c>
      <c r="B165" s="5" t="s">
        <v>375</v>
      </c>
      <c r="C165" s="4">
        <f>3608-521</f>
        <v>3087</v>
      </c>
      <c r="D165" s="5" t="s">
        <v>376</v>
      </c>
      <c r="E165" s="4"/>
      <c r="F165" s="5" t="s">
        <v>9</v>
      </c>
      <c r="G165" s="5" t="s">
        <v>10</v>
      </c>
    </row>
    <row r="166" spans="1:7" ht="12.75">
      <c r="A166" s="4">
        <v>165</v>
      </c>
      <c r="B166" s="5" t="s">
        <v>377</v>
      </c>
      <c r="C166" s="4">
        <f>6411-5144</f>
        <v>1267</v>
      </c>
      <c r="D166" s="5" t="s">
        <v>378</v>
      </c>
      <c r="E166" s="4" t="s">
        <v>379</v>
      </c>
      <c r="F166" s="5" t="s">
        <v>41</v>
      </c>
      <c r="G166" s="5" t="s">
        <v>65</v>
      </c>
    </row>
    <row r="167" spans="1:7" ht="12.75">
      <c r="A167" s="4">
        <v>166</v>
      </c>
      <c r="B167" s="5" t="s">
        <v>377</v>
      </c>
      <c r="C167" s="4">
        <f>7646-1840</f>
        <v>5806</v>
      </c>
      <c r="D167" s="5" t="s">
        <v>380</v>
      </c>
      <c r="E167" s="5" t="s">
        <v>381</v>
      </c>
      <c r="F167" s="5" t="s">
        <v>55</v>
      </c>
      <c r="G167" s="4" t="s">
        <v>14</v>
      </c>
    </row>
    <row r="168" spans="1:7" ht="12.75">
      <c r="A168" s="4">
        <v>167</v>
      </c>
      <c r="B168" s="5" t="s">
        <v>377</v>
      </c>
      <c r="C168" s="4">
        <f>7029-2158</f>
        <v>4871</v>
      </c>
      <c r="D168" s="5" t="s">
        <v>382</v>
      </c>
      <c r="E168" s="7" t="s">
        <v>383</v>
      </c>
      <c r="F168" s="5" t="s">
        <v>304</v>
      </c>
      <c r="G168" s="5" t="s">
        <v>55</v>
      </c>
    </row>
    <row r="169" spans="1:7" ht="12.75">
      <c r="A169" s="4">
        <v>168</v>
      </c>
      <c r="B169" s="5" t="s">
        <v>377</v>
      </c>
      <c r="C169" s="4">
        <f>7634-6847</f>
        <v>787</v>
      </c>
      <c r="D169" s="5" t="s">
        <v>384</v>
      </c>
      <c r="E169" s="7" t="s">
        <v>385</v>
      </c>
      <c r="F169" s="5" t="s">
        <v>20</v>
      </c>
      <c r="G169" s="5" t="s">
        <v>41</v>
      </c>
    </row>
    <row r="170" spans="1:7" ht="12.75">
      <c r="A170" s="4">
        <v>169</v>
      </c>
      <c r="B170" s="5" t="s">
        <v>386</v>
      </c>
      <c r="C170" s="4">
        <f>1328-1639</f>
        <v>-311</v>
      </c>
      <c r="D170" s="5" t="s">
        <v>387</v>
      </c>
      <c r="E170" s="4"/>
      <c r="F170" s="5" t="s">
        <v>55</v>
      </c>
      <c r="G170" s="4" t="s">
        <v>14</v>
      </c>
    </row>
    <row r="171" spans="1:7" ht="12.75">
      <c r="A171" s="4">
        <v>170</v>
      </c>
      <c r="B171" s="5" t="s">
        <v>388</v>
      </c>
      <c r="C171" s="4">
        <f>931-1343</f>
        <v>-412</v>
      </c>
      <c r="D171" s="5" t="s">
        <v>389</v>
      </c>
      <c r="E171" s="4"/>
      <c r="F171" s="5" t="s">
        <v>55</v>
      </c>
      <c r="G171" s="4" t="s">
        <v>14</v>
      </c>
    </row>
    <row r="172" spans="1:7" ht="12.75">
      <c r="A172" s="4">
        <v>171</v>
      </c>
      <c r="B172" s="5" t="s">
        <v>390</v>
      </c>
      <c r="C172" s="4">
        <f>1614-6132</f>
        <v>-4518</v>
      </c>
      <c r="D172" s="5" t="s">
        <v>391</v>
      </c>
      <c r="E172" s="4"/>
      <c r="F172" s="5" t="s">
        <v>20</v>
      </c>
      <c r="G172" s="4" t="s">
        <v>14</v>
      </c>
    </row>
    <row r="173" spans="1:7" ht="12.75">
      <c r="A173" s="4">
        <v>172</v>
      </c>
      <c r="B173" s="5" t="s">
        <v>392</v>
      </c>
      <c r="C173" s="4">
        <f>345+847</f>
        <v>1192</v>
      </c>
      <c r="D173" s="5" t="s">
        <v>393</v>
      </c>
      <c r="E173" s="4"/>
      <c r="F173" s="5" t="s">
        <v>9</v>
      </c>
      <c r="G173" s="4" t="s">
        <v>14</v>
      </c>
    </row>
    <row r="174" spans="1:7" ht="12.75">
      <c r="A174" s="4">
        <v>173</v>
      </c>
      <c r="B174" s="5" t="s">
        <v>394</v>
      </c>
      <c r="C174" s="4">
        <f>3758+2343</f>
        <v>6101</v>
      </c>
      <c r="D174" s="5" t="s">
        <v>395</v>
      </c>
      <c r="E174" s="4"/>
      <c r="F174" s="5" t="s">
        <v>10</v>
      </c>
      <c r="G174" s="5" t="s">
        <v>61</v>
      </c>
    </row>
    <row r="175" spans="1:7" ht="12.75">
      <c r="A175" s="4">
        <v>174</v>
      </c>
      <c r="B175" s="5" t="s">
        <v>396</v>
      </c>
      <c r="C175" s="4">
        <f>-5416-3632</f>
        <v>-9048</v>
      </c>
      <c r="D175" s="5" t="s">
        <v>397</v>
      </c>
      <c r="E175" s="4"/>
      <c r="F175" s="5" t="s">
        <v>65</v>
      </c>
      <c r="G175" s="4" t="s">
        <v>14</v>
      </c>
    </row>
    <row r="176" spans="1:7" ht="12.75">
      <c r="A176" s="4">
        <v>175</v>
      </c>
      <c r="B176" s="5" t="s">
        <v>398</v>
      </c>
      <c r="C176" s="4">
        <f>1438-9031</f>
        <v>-7593</v>
      </c>
      <c r="D176" s="5" t="s">
        <v>399</v>
      </c>
      <c r="E176" s="4"/>
      <c r="F176" s="5" t="s">
        <v>199</v>
      </c>
      <c r="G176" s="4" t="s">
        <v>14</v>
      </c>
    </row>
    <row r="177" spans="1:7" ht="12.75">
      <c r="A177" s="4">
        <v>176</v>
      </c>
      <c r="B177" s="5" t="s">
        <v>400</v>
      </c>
      <c r="C177" s="4">
        <f>1328+14445</f>
        <v>15773</v>
      </c>
      <c r="D177" s="5" t="s">
        <v>401</v>
      </c>
      <c r="E177" s="4"/>
      <c r="F177" s="5" t="s">
        <v>58</v>
      </c>
      <c r="G177" s="4" t="s">
        <v>14</v>
      </c>
    </row>
    <row r="178" spans="1:7" ht="12.75">
      <c r="A178" s="4">
        <v>177</v>
      </c>
      <c r="B178" s="5" t="s">
        <v>402</v>
      </c>
      <c r="C178" s="4">
        <f>1151-1535</f>
        <v>-384</v>
      </c>
      <c r="D178" s="5" t="s">
        <v>403</v>
      </c>
      <c r="E178" s="4"/>
      <c r="F178" s="5" t="s">
        <v>55</v>
      </c>
      <c r="G178" s="4" t="s">
        <v>14</v>
      </c>
    </row>
    <row r="179" spans="1:7" ht="12.75">
      <c r="A179" s="4">
        <v>178</v>
      </c>
      <c r="B179" s="5" t="s">
        <v>404</v>
      </c>
      <c r="C179" s="4">
        <f>648-5810</f>
        <v>-5162</v>
      </c>
      <c r="D179" s="5" t="s">
        <v>405</v>
      </c>
      <c r="E179" s="4"/>
      <c r="F179" s="5" t="s">
        <v>20</v>
      </c>
      <c r="G179" s="4" t="s">
        <v>14</v>
      </c>
    </row>
    <row r="180" spans="1:7" ht="12.75">
      <c r="A180" s="4">
        <v>179</v>
      </c>
      <c r="B180" s="5" t="s">
        <v>406</v>
      </c>
      <c r="C180" s="4">
        <f>2217+11409</f>
        <v>13626</v>
      </c>
      <c r="D180" s="5" t="s">
        <v>407</v>
      </c>
      <c r="E180" s="4"/>
      <c r="F180" s="5" t="s">
        <v>52</v>
      </c>
      <c r="G180" s="4" t="s">
        <v>14</v>
      </c>
    </row>
    <row r="181" spans="1:7" ht="12.75">
      <c r="A181" s="4">
        <v>180</v>
      </c>
      <c r="B181" s="5" t="s">
        <v>408</v>
      </c>
      <c r="C181" s="4">
        <f>1406-8713</f>
        <v>-7307</v>
      </c>
      <c r="D181" s="5" t="s">
        <v>409</v>
      </c>
      <c r="E181" s="4"/>
      <c r="F181" s="5" t="s">
        <v>199</v>
      </c>
      <c r="G181" s="4" t="s">
        <v>14</v>
      </c>
    </row>
    <row r="182" spans="1:7" ht="12.75">
      <c r="A182" s="4">
        <v>181</v>
      </c>
      <c r="B182" s="5" t="s">
        <v>410</v>
      </c>
      <c r="C182" s="4">
        <f>4548+1558</f>
        <v>6106</v>
      </c>
      <c r="D182" s="5" t="s">
        <v>411</v>
      </c>
      <c r="E182" s="4"/>
      <c r="F182" s="5" t="s">
        <v>9</v>
      </c>
      <c r="G182" s="5" t="s">
        <v>10</v>
      </c>
    </row>
    <row r="183" spans="1:7" ht="12.75">
      <c r="A183" s="4">
        <v>182</v>
      </c>
      <c r="B183" s="5" t="s">
        <v>412</v>
      </c>
      <c r="C183" s="4">
        <f>1832-7220</f>
        <v>-5388</v>
      </c>
      <c r="D183" s="5" t="s">
        <v>413</v>
      </c>
      <c r="E183" s="4"/>
      <c r="F183" s="5" t="s">
        <v>190</v>
      </c>
      <c r="G183" s="4" t="s">
        <v>14</v>
      </c>
    </row>
    <row r="184" spans="1:7" ht="12.75">
      <c r="A184" s="4">
        <v>183</v>
      </c>
      <c r="B184" s="5" t="s">
        <v>414</v>
      </c>
      <c r="C184" s="4">
        <f>4730+1905</f>
        <v>6635</v>
      </c>
      <c r="D184" s="5" t="s">
        <v>415</v>
      </c>
      <c r="E184" s="4"/>
      <c r="F184" s="5" t="s">
        <v>9</v>
      </c>
      <c r="G184" s="5" t="s">
        <v>10</v>
      </c>
    </row>
    <row r="185" spans="1:7" ht="12.75">
      <c r="A185" s="4">
        <v>184</v>
      </c>
      <c r="B185" s="5" t="s">
        <v>416</v>
      </c>
      <c r="C185" s="4">
        <f>-610+10648</f>
        <v>10038</v>
      </c>
      <c r="D185" s="5" t="s">
        <v>417</v>
      </c>
      <c r="E185" s="7" t="s">
        <v>418</v>
      </c>
      <c r="F185" s="5" t="s">
        <v>49</v>
      </c>
      <c r="G185" s="4" t="s">
        <v>14</v>
      </c>
    </row>
    <row r="186" spans="1:7" ht="12.75">
      <c r="A186" s="4">
        <v>185</v>
      </c>
      <c r="B186" s="5" t="s">
        <v>416</v>
      </c>
      <c r="C186" s="4">
        <f>-2+10920</f>
        <v>10918</v>
      </c>
      <c r="D186" s="5" t="s">
        <v>419</v>
      </c>
      <c r="E186" s="5" t="s">
        <v>420</v>
      </c>
      <c r="F186" s="5" t="s">
        <v>49</v>
      </c>
      <c r="G186" s="4" t="s">
        <v>14</v>
      </c>
    </row>
    <row r="187" spans="1:7" ht="12.75">
      <c r="A187" s="4">
        <v>186</v>
      </c>
      <c r="B187" s="5" t="s">
        <v>416</v>
      </c>
      <c r="C187" s="4">
        <f>-507+11924</f>
        <v>11417</v>
      </c>
      <c r="D187" s="5" t="s">
        <v>421</v>
      </c>
      <c r="E187" s="4" t="s">
        <v>422</v>
      </c>
      <c r="F187" s="5" t="s">
        <v>52</v>
      </c>
      <c r="G187" s="4" t="s">
        <v>14</v>
      </c>
    </row>
    <row r="188" spans="1:7" ht="12.75">
      <c r="A188" s="4">
        <v>187</v>
      </c>
      <c r="B188" s="5" t="s">
        <v>416</v>
      </c>
      <c r="C188" s="4">
        <f>-232+14042</f>
        <v>13810</v>
      </c>
      <c r="D188" s="5" t="s">
        <v>423</v>
      </c>
      <c r="E188" s="7" t="s">
        <v>424</v>
      </c>
      <c r="F188" s="5" t="s">
        <v>425</v>
      </c>
      <c r="G188" s="4" t="s">
        <v>14</v>
      </c>
    </row>
    <row r="189" spans="1:7" ht="12.75">
      <c r="A189" s="4">
        <v>188</v>
      </c>
      <c r="B189" s="5" t="s">
        <v>426</v>
      </c>
      <c r="C189" s="4">
        <f>5320-615</f>
        <v>4705</v>
      </c>
      <c r="D189" s="5" t="s">
        <v>427</v>
      </c>
      <c r="E189" s="4"/>
      <c r="F189" s="5" t="s">
        <v>55</v>
      </c>
      <c r="G189" s="5" t="s">
        <v>9</v>
      </c>
    </row>
    <row r="190" spans="1:7" ht="12.75">
      <c r="A190" s="4">
        <v>189</v>
      </c>
      <c r="B190" s="5" t="s">
        <v>428</v>
      </c>
      <c r="C190" s="4">
        <f>3146+3514</f>
        <v>6660</v>
      </c>
      <c r="D190" s="5" t="s">
        <v>429</v>
      </c>
      <c r="E190" s="4"/>
      <c r="F190" s="5" t="s">
        <v>10</v>
      </c>
      <c r="G190" s="5" t="s">
        <v>61</v>
      </c>
    </row>
    <row r="191" spans="1:7" ht="12.75">
      <c r="A191" s="4">
        <v>190</v>
      </c>
      <c r="B191" s="5" t="s">
        <v>430</v>
      </c>
      <c r="C191" s="4">
        <f>5409-428</f>
        <v>4981</v>
      </c>
      <c r="D191" s="5" t="s">
        <v>431</v>
      </c>
      <c r="E191" s="4"/>
      <c r="F191" s="5" t="s">
        <v>55</v>
      </c>
      <c r="G191" s="5" t="s">
        <v>9</v>
      </c>
    </row>
    <row r="192" spans="1:7" ht="12.75">
      <c r="A192" s="4">
        <v>191</v>
      </c>
      <c r="B192" s="5" t="s">
        <v>432</v>
      </c>
      <c r="C192" s="4">
        <f>2232+8822</f>
        <v>11054</v>
      </c>
      <c r="D192" s="5" t="s">
        <v>433</v>
      </c>
      <c r="E192" s="4"/>
      <c r="F192" s="5" t="s">
        <v>434</v>
      </c>
      <c r="G192" s="4" t="s">
        <v>14</v>
      </c>
    </row>
    <row r="193" spans="1:7" ht="12.75">
      <c r="A193" s="4">
        <v>192</v>
      </c>
      <c r="B193" s="5" t="s">
        <v>435</v>
      </c>
      <c r="C193" s="4">
        <f>-720+7225</f>
        <v>6505</v>
      </c>
      <c r="D193" s="5" t="s">
        <v>436</v>
      </c>
      <c r="E193" s="4"/>
      <c r="F193" s="5" t="s">
        <v>46</v>
      </c>
      <c r="G193" s="4" t="s">
        <v>14</v>
      </c>
    </row>
    <row r="194" spans="1:7" ht="12.75">
      <c r="A194" s="4">
        <v>193</v>
      </c>
      <c r="B194" s="5" t="s">
        <v>437</v>
      </c>
      <c r="C194" s="4">
        <f>3321+4425</f>
        <v>7746</v>
      </c>
      <c r="D194" s="5" t="s">
        <v>438</v>
      </c>
      <c r="E194" s="4"/>
      <c r="F194" s="5" t="s">
        <v>61</v>
      </c>
      <c r="G194" s="4" t="s">
        <v>14</v>
      </c>
    </row>
    <row r="195" spans="1:7" ht="12.75">
      <c r="A195" s="4">
        <v>194</v>
      </c>
      <c r="B195" s="5" t="s">
        <v>439</v>
      </c>
      <c r="C195" s="4">
        <f>3540+5126</f>
        <v>8666</v>
      </c>
      <c r="D195" s="5" t="s">
        <v>440</v>
      </c>
      <c r="E195" s="4"/>
      <c r="F195" s="5" t="s">
        <v>441</v>
      </c>
      <c r="G195" s="5" t="s">
        <v>17</v>
      </c>
    </row>
    <row r="196" spans="1:7" ht="12.75">
      <c r="A196" s="4">
        <v>195</v>
      </c>
      <c r="B196" s="5" t="s">
        <v>442</v>
      </c>
      <c r="C196" s="4">
        <f>6409-2151</f>
        <v>4258</v>
      </c>
      <c r="D196" s="5" t="s">
        <v>443</v>
      </c>
      <c r="E196" s="4"/>
      <c r="F196" s="5" t="s">
        <v>55</v>
      </c>
      <c r="G196" s="4" t="s">
        <v>14</v>
      </c>
    </row>
    <row r="197" spans="1:7" ht="12.75">
      <c r="A197" s="4">
        <v>196</v>
      </c>
      <c r="B197" s="5" t="s">
        <v>444</v>
      </c>
      <c r="C197" s="4">
        <f>4154+1229</f>
        <v>5383</v>
      </c>
      <c r="D197" s="5" t="s">
        <v>445</v>
      </c>
      <c r="E197" s="4"/>
      <c r="F197" s="5" t="s">
        <v>9</v>
      </c>
      <c r="G197" s="5" t="s">
        <v>10</v>
      </c>
    </row>
    <row r="198" spans="1:7" ht="12.75">
      <c r="A198" s="4">
        <v>197</v>
      </c>
      <c r="B198" s="5" t="s">
        <v>446</v>
      </c>
      <c r="C198" s="4">
        <f>4912-207</f>
        <v>4705</v>
      </c>
      <c r="D198" s="5" t="s">
        <v>447</v>
      </c>
      <c r="E198" s="4"/>
      <c r="F198" s="5" t="s">
        <v>55</v>
      </c>
      <c r="G198" s="5" t="s">
        <v>9</v>
      </c>
    </row>
    <row r="199" spans="1:7" ht="12.75">
      <c r="A199" s="4">
        <v>198</v>
      </c>
      <c r="B199" s="5" t="s">
        <v>448</v>
      </c>
      <c r="C199" s="4">
        <f>1800-7648</f>
        <v>-5848</v>
      </c>
      <c r="D199" s="5" t="s">
        <v>449</v>
      </c>
      <c r="E199" s="4"/>
      <c r="F199" s="5" t="s">
        <v>190</v>
      </c>
      <c r="G199" s="4" t="s">
        <v>14</v>
      </c>
    </row>
    <row r="200" spans="1:7" ht="12.75">
      <c r="A200" s="4">
        <v>199</v>
      </c>
      <c r="B200" s="5" t="s">
        <v>450</v>
      </c>
      <c r="C200" s="4">
        <f>3157+3556</f>
        <v>6713</v>
      </c>
      <c r="D200" s="5" t="s">
        <v>451</v>
      </c>
      <c r="E200" s="4"/>
      <c r="F200" s="5" t="s">
        <v>10</v>
      </c>
      <c r="G200" s="5" t="s">
        <v>61</v>
      </c>
    </row>
    <row r="201" spans="1:7" ht="12.75">
      <c r="A201" s="4">
        <v>200</v>
      </c>
      <c r="B201" s="5" t="s">
        <v>452</v>
      </c>
      <c r="C201" s="4">
        <f>353916+1394441</f>
        <v>1748357</v>
      </c>
      <c r="D201" s="5" t="s">
        <v>453</v>
      </c>
      <c r="E201" s="4"/>
      <c r="F201" s="5" t="s">
        <v>425</v>
      </c>
      <c r="G201" s="4" t="s">
        <v>14</v>
      </c>
    </row>
    <row r="202" spans="1:7" ht="12.75">
      <c r="A202" s="4">
        <v>201</v>
      </c>
      <c r="B202" s="5" t="s">
        <v>454</v>
      </c>
      <c r="C202" s="4">
        <f>-117+3649</f>
        <v>3532</v>
      </c>
      <c r="D202" s="5" t="s">
        <v>455</v>
      </c>
      <c r="E202" s="4"/>
      <c r="F202" s="5" t="s">
        <v>61</v>
      </c>
      <c r="G202" s="4" t="s">
        <v>14</v>
      </c>
    </row>
    <row r="203" spans="1:7" ht="12.75">
      <c r="A203" s="4">
        <v>202</v>
      </c>
      <c r="B203" s="5" t="s">
        <v>456</v>
      </c>
      <c r="C203" s="4">
        <f>4254+7436</f>
        <v>11690</v>
      </c>
      <c r="D203" s="5" t="s">
        <v>457</v>
      </c>
      <c r="E203" s="4"/>
      <c r="F203" s="5" t="s">
        <v>46</v>
      </c>
      <c r="G203" s="4" t="s">
        <v>14</v>
      </c>
    </row>
    <row r="204" spans="1:7" ht="12.75">
      <c r="A204" s="4">
        <v>203</v>
      </c>
      <c r="B204" s="5" t="s">
        <v>458</v>
      </c>
      <c r="C204" s="4">
        <f>1133+10455</f>
        <v>11588</v>
      </c>
      <c r="D204" s="5" t="s">
        <v>459</v>
      </c>
      <c r="E204" s="4"/>
      <c r="F204" s="5" t="s">
        <v>49</v>
      </c>
      <c r="G204" s="4" t="s">
        <v>14</v>
      </c>
    </row>
    <row r="205" spans="1:7" ht="12.75">
      <c r="A205" s="4">
        <v>204</v>
      </c>
      <c r="B205" s="5" t="s">
        <v>460</v>
      </c>
      <c r="C205" s="4">
        <f>125+17300</f>
        <v>17425</v>
      </c>
      <c r="D205" s="5" t="s">
        <v>461</v>
      </c>
      <c r="E205" s="5" t="s">
        <v>462</v>
      </c>
      <c r="F205" s="5" t="s">
        <v>35</v>
      </c>
      <c r="G205" s="4" t="s">
        <v>14</v>
      </c>
    </row>
    <row r="206" spans="1:7" ht="12.75">
      <c r="A206" s="4">
        <v>205</v>
      </c>
      <c r="B206" s="5" t="s">
        <v>460</v>
      </c>
      <c r="C206" s="4">
        <f>-308-17105</f>
        <v>-17413</v>
      </c>
      <c r="D206" s="5" t="s">
        <v>463</v>
      </c>
      <c r="E206" s="5" t="s">
        <v>464</v>
      </c>
      <c r="F206" s="5" t="s">
        <v>36</v>
      </c>
      <c r="G206" s="4" t="s">
        <v>14</v>
      </c>
    </row>
    <row r="207" spans="1:7" ht="12.75">
      <c r="A207" s="4">
        <v>206</v>
      </c>
      <c r="B207" s="5" t="s">
        <v>460</v>
      </c>
      <c r="C207" s="4">
        <f>152-15720</f>
        <v>-15568</v>
      </c>
      <c r="D207" s="5" t="s">
        <v>465</v>
      </c>
      <c r="E207" s="5" t="s">
        <v>466</v>
      </c>
      <c r="F207" s="5" t="s">
        <v>467</v>
      </c>
      <c r="G207" s="4" t="s">
        <v>14</v>
      </c>
    </row>
    <row r="208" spans="1:7" ht="12.75">
      <c r="A208" s="4">
        <v>207</v>
      </c>
      <c r="B208" s="5" t="s">
        <v>468</v>
      </c>
      <c r="C208" s="4">
        <f>-1141+4316</f>
        <v>3175</v>
      </c>
      <c r="D208" s="5" t="s">
        <v>469</v>
      </c>
      <c r="E208" s="4"/>
      <c r="F208" s="5" t="s">
        <v>61</v>
      </c>
      <c r="G208" s="4" t="s">
        <v>14</v>
      </c>
    </row>
    <row r="209" spans="1:7" ht="12.75">
      <c r="A209" s="4">
        <v>208</v>
      </c>
      <c r="B209" s="5" t="s">
        <v>470</v>
      </c>
      <c r="C209" s="4">
        <f>1718-6243</f>
        <v>-4525</v>
      </c>
      <c r="D209" s="5" t="s">
        <v>471</v>
      </c>
      <c r="E209" s="4"/>
      <c r="F209" s="5" t="s">
        <v>20</v>
      </c>
      <c r="G209" s="4" t="s">
        <v>14</v>
      </c>
    </row>
    <row r="210" spans="1:7" ht="12.75">
      <c r="A210" s="4">
        <v>209</v>
      </c>
      <c r="B210" s="5" t="s">
        <v>472</v>
      </c>
      <c r="C210" s="4">
        <f>3901+12545</f>
        <v>16446</v>
      </c>
      <c r="D210" s="5" t="s">
        <v>473</v>
      </c>
      <c r="E210" s="4"/>
      <c r="F210" s="5" t="s">
        <v>425</v>
      </c>
      <c r="G210" s="4" t="s">
        <v>14</v>
      </c>
    </row>
    <row r="211" spans="1:7" ht="12.75">
      <c r="A211" s="4">
        <v>210</v>
      </c>
      <c r="B211" s="5" t="s">
        <v>474</v>
      </c>
      <c r="C211" s="4">
        <f>3733+12658</f>
        <v>16391</v>
      </c>
      <c r="D211" s="5" t="s">
        <v>475</v>
      </c>
      <c r="E211" s="4"/>
      <c r="F211" s="5" t="s">
        <v>425</v>
      </c>
      <c r="G211" s="4" t="s">
        <v>14</v>
      </c>
    </row>
    <row r="212" spans="1:7" ht="12.75">
      <c r="A212" s="4">
        <v>211</v>
      </c>
      <c r="B212" s="5" t="s">
        <v>476</v>
      </c>
      <c r="C212" s="4">
        <f>2920+4759</f>
        <v>7679</v>
      </c>
      <c r="D212" s="5" t="s">
        <v>477</v>
      </c>
      <c r="E212" s="4"/>
      <c r="F212" s="5" t="s">
        <v>61</v>
      </c>
      <c r="G212" s="4" t="s">
        <v>14</v>
      </c>
    </row>
    <row r="213" spans="1:7" ht="12.75">
      <c r="A213" s="4">
        <v>212</v>
      </c>
      <c r="B213" s="5" t="s">
        <v>478</v>
      </c>
      <c r="C213" s="4">
        <f>1918-8123</f>
        <v>-6205</v>
      </c>
      <c r="D213" s="5" t="s">
        <v>479</v>
      </c>
      <c r="E213" s="4"/>
      <c r="F213" s="5" t="s">
        <v>190</v>
      </c>
      <c r="G213" s="4" t="s">
        <v>14</v>
      </c>
    </row>
    <row r="214" spans="1:7" ht="12.75">
      <c r="A214" s="4">
        <v>213</v>
      </c>
      <c r="B214" s="5" t="s">
        <v>480</v>
      </c>
      <c r="C214" s="4">
        <f>4315+7657</f>
        <v>11972</v>
      </c>
      <c r="D214" s="5" t="s">
        <v>481</v>
      </c>
      <c r="E214" s="4" t="s">
        <v>379</v>
      </c>
      <c r="F214" s="5" t="s">
        <v>46</v>
      </c>
      <c r="G214" s="4" t="s">
        <v>14</v>
      </c>
    </row>
    <row r="215" spans="1:7" ht="12.75">
      <c r="A215" s="4">
        <v>214</v>
      </c>
      <c r="B215" s="5" t="s">
        <v>480</v>
      </c>
      <c r="C215" s="4">
        <f>4448+6528</f>
        <v>10976</v>
      </c>
      <c r="D215" s="5" t="s">
        <v>482</v>
      </c>
      <c r="E215" s="5" t="s">
        <v>483</v>
      </c>
      <c r="F215" s="5" t="s">
        <v>46</v>
      </c>
      <c r="G215" s="4" t="s">
        <v>14</v>
      </c>
    </row>
    <row r="216" spans="1:7" ht="12.75">
      <c r="A216" s="4">
        <v>215</v>
      </c>
      <c r="B216" s="5" t="s">
        <v>480</v>
      </c>
      <c r="C216" s="4">
        <f>5017+5710</f>
        <v>10727</v>
      </c>
      <c r="D216" s="5" t="s">
        <v>484</v>
      </c>
      <c r="E216" s="5" t="s">
        <v>485</v>
      </c>
      <c r="F216" s="5" t="s">
        <v>27</v>
      </c>
      <c r="G216" s="4" t="s">
        <v>14</v>
      </c>
    </row>
    <row r="217" spans="1:7" ht="12.75">
      <c r="A217" s="4">
        <v>216</v>
      </c>
      <c r="B217" s="5" t="s">
        <v>480</v>
      </c>
      <c r="C217" s="4">
        <f>4431+5016</f>
        <v>9447</v>
      </c>
      <c r="D217" s="5" t="s">
        <v>486</v>
      </c>
      <c r="E217" s="7" t="s">
        <v>487</v>
      </c>
      <c r="F217" s="5" t="s">
        <v>27</v>
      </c>
      <c r="G217" s="4" t="s">
        <v>14</v>
      </c>
    </row>
    <row r="218" spans="1:7" ht="12.75">
      <c r="A218" s="4">
        <v>217</v>
      </c>
      <c r="B218" s="5" t="s">
        <v>480</v>
      </c>
      <c r="C218" s="4">
        <f>5113+5121</f>
        <v>10234</v>
      </c>
      <c r="D218" s="5" t="s">
        <v>488</v>
      </c>
      <c r="E218" s="5" t="s">
        <v>489</v>
      </c>
      <c r="F218" s="5" t="s">
        <v>27</v>
      </c>
      <c r="G218" s="4" t="s">
        <v>14</v>
      </c>
    </row>
    <row r="219" spans="1:7" ht="12.75">
      <c r="A219" s="4">
        <v>218</v>
      </c>
      <c r="B219" s="5" t="s">
        <v>490</v>
      </c>
      <c r="C219" s="4">
        <f>1758+10236</f>
        <v>11994</v>
      </c>
      <c r="D219" s="5" t="s">
        <v>491</v>
      </c>
      <c r="E219" s="4"/>
      <c r="F219" s="5" t="s">
        <v>49</v>
      </c>
      <c r="G219" s="4" t="s">
        <v>14</v>
      </c>
    </row>
    <row r="220" spans="1:7" ht="12.75">
      <c r="A220" s="4">
        <v>219</v>
      </c>
      <c r="B220" s="5" t="s">
        <v>492</v>
      </c>
      <c r="C220" s="4">
        <f>3353+3530</f>
        <v>6883</v>
      </c>
      <c r="D220" s="5" t="s">
        <v>493</v>
      </c>
      <c r="E220" s="4"/>
      <c r="F220" s="5" t="s">
        <v>10</v>
      </c>
      <c r="G220" s="5" t="s">
        <v>61</v>
      </c>
    </row>
    <row r="221" spans="1:7" ht="12.75">
      <c r="A221" s="4">
        <v>220</v>
      </c>
      <c r="B221" s="5" t="s">
        <v>494</v>
      </c>
      <c r="C221" s="4">
        <f>1401-6100</f>
        <v>-4699</v>
      </c>
      <c r="D221" s="5" t="s">
        <v>495</v>
      </c>
      <c r="E221" s="4"/>
      <c r="F221" s="5" t="s">
        <v>20</v>
      </c>
      <c r="G221" s="4" t="s">
        <v>14</v>
      </c>
    </row>
    <row r="222" spans="1:7" ht="12.75">
      <c r="A222" s="4">
        <v>221</v>
      </c>
      <c r="B222" s="5" t="s">
        <v>496</v>
      </c>
      <c r="C222" s="4">
        <f>4709+931</f>
        <v>5640</v>
      </c>
      <c r="D222" s="5" t="s">
        <v>497</v>
      </c>
      <c r="E222" s="4"/>
      <c r="F222" s="5" t="s">
        <v>9</v>
      </c>
      <c r="G222" s="5" t="s">
        <v>10</v>
      </c>
    </row>
    <row r="223" spans="1:7" ht="12.75">
      <c r="A223" s="4">
        <v>222</v>
      </c>
      <c r="B223" s="5" t="s">
        <v>498</v>
      </c>
      <c r="C223" s="4">
        <f>656+7951</f>
        <v>8607</v>
      </c>
      <c r="D223" s="5" t="s">
        <v>499</v>
      </c>
      <c r="E223" s="4"/>
      <c r="F223" s="5" t="s">
        <v>434</v>
      </c>
      <c r="G223" s="4" t="s">
        <v>14</v>
      </c>
    </row>
    <row r="224" spans="1:7" ht="12.75">
      <c r="A224" s="4">
        <v>223</v>
      </c>
      <c r="B224" s="5" t="s">
        <v>500</v>
      </c>
      <c r="C224" s="4">
        <f>618-1047</f>
        <v>-429</v>
      </c>
      <c r="D224" s="5" t="s">
        <v>501</v>
      </c>
      <c r="E224" s="4"/>
      <c r="F224" s="5" t="s">
        <v>55</v>
      </c>
      <c r="G224" s="4" t="s">
        <v>14</v>
      </c>
    </row>
    <row r="225" spans="1:7" ht="12.75">
      <c r="A225" s="4">
        <v>224</v>
      </c>
      <c r="B225" s="5" t="s">
        <v>502</v>
      </c>
      <c r="C225" s="4">
        <f>-2928+2730</f>
        <v>-198</v>
      </c>
      <c r="D225" s="5" t="s">
        <v>503</v>
      </c>
      <c r="E225" s="4"/>
      <c r="F225" s="5" t="s">
        <v>10</v>
      </c>
      <c r="G225" s="4" t="s">
        <v>14</v>
      </c>
    </row>
    <row r="226" spans="1:7" ht="12.75">
      <c r="A226" s="4">
        <v>225</v>
      </c>
      <c r="B226" s="5" t="s">
        <v>504</v>
      </c>
      <c r="C226" s="4">
        <f>5441+2519</f>
        <v>7960</v>
      </c>
      <c r="D226" s="5" t="s">
        <v>505</v>
      </c>
      <c r="E226" s="4"/>
      <c r="F226" s="5" t="s">
        <v>10</v>
      </c>
      <c r="G226" s="5" t="s">
        <v>61</v>
      </c>
    </row>
    <row r="227" spans="1:7" ht="12.75">
      <c r="A227" s="4">
        <v>226</v>
      </c>
      <c r="B227" s="5" t="s">
        <v>506</v>
      </c>
      <c r="C227" s="4">
        <f>4936+609</f>
        <v>5545</v>
      </c>
      <c r="D227" s="5" t="s">
        <v>507</v>
      </c>
      <c r="E227" s="4"/>
      <c r="F227" s="5" t="s">
        <v>9</v>
      </c>
      <c r="G227" s="5" t="s">
        <v>10</v>
      </c>
    </row>
    <row r="228" spans="1:7" ht="12.75">
      <c r="A228" s="4">
        <v>227</v>
      </c>
      <c r="B228" s="5" t="s">
        <v>508</v>
      </c>
      <c r="C228" s="4">
        <f>5657+2406</f>
        <v>8063</v>
      </c>
      <c r="D228" s="5" t="s">
        <v>509</v>
      </c>
      <c r="E228" s="4"/>
      <c r="F228" s="5" t="s">
        <v>10</v>
      </c>
      <c r="G228" s="5" t="s">
        <v>61</v>
      </c>
    </row>
    <row r="229" spans="1:7" ht="12.75">
      <c r="A229" s="4">
        <v>228</v>
      </c>
      <c r="B229" s="5" t="s">
        <v>510</v>
      </c>
      <c r="C229" s="4">
        <f>3254+1311</f>
        <v>4565</v>
      </c>
      <c r="D229" s="5" t="s">
        <v>511</v>
      </c>
      <c r="E229" s="4"/>
      <c r="F229" s="5" t="s">
        <v>10</v>
      </c>
      <c r="G229" s="4" t="s">
        <v>14</v>
      </c>
    </row>
    <row r="230" spans="1:7" ht="12.75">
      <c r="A230" s="4">
        <v>229</v>
      </c>
      <c r="B230" s="5" t="s">
        <v>512</v>
      </c>
      <c r="C230" s="4">
        <f>3339-735</f>
        <v>2604</v>
      </c>
      <c r="D230" s="5" t="s">
        <v>513</v>
      </c>
      <c r="E230" s="4"/>
      <c r="F230" s="5" t="s">
        <v>55</v>
      </c>
      <c r="G230" s="4" t="s">
        <v>14</v>
      </c>
    </row>
    <row r="231" spans="1:7" ht="12.75">
      <c r="A231" s="4">
        <v>230</v>
      </c>
      <c r="B231" s="5" t="s">
        <v>514</v>
      </c>
      <c r="C231" s="4">
        <f>4342+723</f>
        <v>5065</v>
      </c>
      <c r="D231" s="5" t="s">
        <v>515</v>
      </c>
      <c r="E231" s="4"/>
      <c r="F231" s="5" t="s">
        <v>9</v>
      </c>
      <c r="G231" s="5" t="s">
        <v>10</v>
      </c>
    </row>
    <row r="232" spans="1:7" ht="12.75">
      <c r="A232" s="4">
        <v>231</v>
      </c>
      <c r="B232" s="5" t="s">
        <v>516</v>
      </c>
      <c r="C232" s="4">
        <f>4700+2850</f>
        <v>7550</v>
      </c>
      <c r="D232" s="5" t="s">
        <v>517</v>
      </c>
      <c r="E232" s="4"/>
      <c r="F232" s="5" t="s">
        <v>10</v>
      </c>
      <c r="G232" s="5" t="s">
        <v>61</v>
      </c>
    </row>
    <row r="233" spans="1:7" ht="12.75">
      <c r="A233" s="4">
        <v>232</v>
      </c>
      <c r="B233" s="5" t="s">
        <v>518</v>
      </c>
      <c r="C233" s="4">
        <f>4226+1916</f>
        <v>6142</v>
      </c>
      <c r="D233" s="5" t="s">
        <v>519</v>
      </c>
      <c r="E233" s="4"/>
      <c r="F233" s="5" t="s">
        <v>9</v>
      </c>
      <c r="G233" s="5" t="s">
        <v>10</v>
      </c>
    </row>
    <row r="234" spans="1:7" ht="12.75">
      <c r="A234" s="4">
        <v>233</v>
      </c>
      <c r="B234" s="5" t="s">
        <v>520</v>
      </c>
      <c r="C234" s="4">
        <f>1804-6305</f>
        <v>-4501</v>
      </c>
      <c r="D234" s="5" t="s">
        <v>521</v>
      </c>
      <c r="E234" s="4"/>
      <c r="F234" s="5" t="s">
        <v>20</v>
      </c>
      <c r="G234" s="4" t="s">
        <v>14</v>
      </c>
    </row>
    <row r="235" spans="1:7" ht="12.75">
      <c r="A235" s="4">
        <v>234</v>
      </c>
      <c r="B235" s="5" t="s">
        <v>522</v>
      </c>
      <c r="C235" s="4">
        <f>-1855+4731</f>
        <v>2876</v>
      </c>
      <c r="D235" s="5" t="s">
        <v>523</v>
      </c>
      <c r="E235" s="4"/>
      <c r="F235" s="5" t="s">
        <v>61</v>
      </c>
      <c r="G235" s="4" t="s">
        <v>14</v>
      </c>
    </row>
    <row r="236" spans="1:7" ht="12.75">
      <c r="A236" s="4">
        <v>235</v>
      </c>
      <c r="B236" s="5" t="s">
        <v>524</v>
      </c>
      <c r="C236" s="4">
        <f>709+17112</f>
        <v>17821</v>
      </c>
      <c r="D236" s="5" t="s">
        <v>525</v>
      </c>
      <c r="E236" s="4" t="s">
        <v>379</v>
      </c>
      <c r="F236" s="5" t="s">
        <v>35</v>
      </c>
      <c r="G236" s="4" t="s">
        <v>14</v>
      </c>
    </row>
    <row r="237" spans="1:7" ht="12.75">
      <c r="A237" s="4">
        <v>236</v>
      </c>
      <c r="B237" s="5" t="s">
        <v>524</v>
      </c>
      <c r="C237" s="4">
        <f>905+16720</f>
        <v>17625</v>
      </c>
      <c r="D237" s="5" t="s">
        <v>526</v>
      </c>
      <c r="E237" s="5" t="s">
        <v>527</v>
      </c>
      <c r="F237" s="5" t="s">
        <v>35</v>
      </c>
      <c r="G237" s="4" t="s">
        <v>14</v>
      </c>
    </row>
    <row r="238" spans="1:7" ht="12.75">
      <c r="A238" s="4">
        <v>237</v>
      </c>
      <c r="B238" s="5" t="s">
        <v>528</v>
      </c>
      <c r="C238" s="4">
        <f>4159+2126</f>
        <v>6285</v>
      </c>
      <c r="D238" s="5" t="s">
        <v>529</v>
      </c>
      <c r="E238" s="4"/>
      <c r="F238" s="5" t="s">
        <v>9</v>
      </c>
      <c r="G238" s="5" t="s">
        <v>10</v>
      </c>
    </row>
    <row r="239" spans="1:7" ht="12.75">
      <c r="A239" s="4">
        <v>238</v>
      </c>
      <c r="B239" s="5" t="s">
        <v>530</v>
      </c>
      <c r="C239" s="4">
        <f>1239-800</f>
        <v>439</v>
      </c>
      <c r="D239" s="5" t="s">
        <v>531</v>
      </c>
      <c r="E239" s="4"/>
      <c r="F239" s="5" t="s">
        <v>55</v>
      </c>
      <c r="G239" s="4" t="s">
        <v>14</v>
      </c>
    </row>
    <row r="240" spans="1:7" ht="12.75">
      <c r="A240" s="4">
        <v>239</v>
      </c>
      <c r="B240" s="5" t="s">
        <v>532</v>
      </c>
      <c r="C240" s="4">
        <f>1647+9610</f>
        <v>11257</v>
      </c>
      <c r="D240" s="5" t="s">
        <v>533</v>
      </c>
      <c r="E240" s="4"/>
      <c r="F240" s="5" t="s">
        <v>261</v>
      </c>
      <c r="G240" s="4" t="s">
        <v>14</v>
      </c>
    </row>
    <row r="241" spans="1:7" ht="12.75">
      <c r="A241" s="4">
        <v>240</v>
      </c>
      <c r="B241" s="5" t="s">
        <v>534</v>
      </c>
      <c r="C241" s="4">
        <f>4755+10653</f>
        <v>15408</v>
      </c>
      <c r="D241" s="5" t="s">
        <v>535</v>
      </c>
      <c r="E241" s="4" t="s">
        <v>379</v>
      </c>
      <c r="F241" s="5" t="s">
        <v>52</v>
      </c>
      <c r="G241" s="4" t="s">
        <v>14</v>
      </c>
    </row>
    <row r="242" spans="1:7" ht="12.75">
      <c r="A242" s="4">
        <v>241</v>
      </c>
      <c r="B242" s="5" t="s">
        <v>534</v>
      </c>
      <c r="C242" s="4">
        <f>4801+9139</f>
        <v>13940</v>
      </c>
      <c r="D242" s="5" t="s">
        <v>536</v>
      </c>
      <c r="E242" s="7" t="s">
        <v>537</v>
      </c>
      <c r="F242" s="5" t="s">
        <v>49</v>
      </c>
      <c r="G242" s="4" t="s">
        <v>14</v>
      </c>
    </row>
    <row r="243" spans="1:7" ht="12.75">
      <c r="A243" s="4">
        <v>242</v>
      </c>
      <c r="B243" s="5" t="s">
        <v>534</v>
      </c>
      <c r="C243" s="4">
        <f>4804+11430</f>
        <v>16234</v>
      </c>
      <c r="D243" s="5" t="s">
        <v>538</v>
      </c>
      <c r="E243" s="7" t="s">
        <v>539</v>
      </c>
      <c r="F243" s="5" t="s">
        <v>52</v>
      </c>
      <c r="G243" s="4" t="s">
        <v>14</v>
      </c>
    </row>
    <row r="244" spans="1:7" ht="12.75">
      <c r="A244" s="4">
        <v>243</v>
      </c>
      <c r="B244" s="5" t="s">
        <v>540</v>
      </c>
      <c r="C244" s="4">
        <f>2214+11335</f>
        <v>13549</v>
      </c>
      <c r="D244" s="5" t="s">
        <v>541</v>
      </c>
      <c r="E244" s="4"/>
      <c r="F244" s="5" t="s">
        <v>52</v>
      </c>
      <c r="G244" s="4" t="s">
        <v>14</v>
      </c>
    </row>
    <row r="245" spans="1:7" ht="12.75">
      <c r="A245" s="4">
        <v>244</v>
      </c>
      <c r="B245" s="5" t="s">
        <v>542</v>
      </c>
      <c r="C245" s="4">
        <f>1512+14545</f>
        <v>16057</v>
      </c>
      <c r="D245" s="5" t="s">
        <v>543</v>
      </c>
      <c r="E245" s="4"/>
      <c r="F245" s="5" t="s">
        <v>58</v>
      </c>
      <c r="G245" s="4" t="s">
        <v>14</v>
      </c>
    </row>
    <row r="246" spans="1:7" ht="12.75">
      <c r="A246" s="4">
        <v>245</v>
      </c>
      <c r="B246" s="5" t="s">
        <v>544</v>
      </c>
      <c r="C246" s="4">
        <f>1436-6105</f>
        <v>-4669</v>
      </c>
      <c r="D246" s="5" t="s">
        <v>545</v>
      </c>
      <c r="E246" s="4"/>
      <c r="F246" s="5" t="s">
        <v>20</v>
      </c>
      <c r="G246" s="4" t="s">
        <v>14</v>
      </c>
    </row>
    <row r="247" spans="1:7" ht="12.75">
      <c r="A247" s="4">
        <v>246</v>
      </c>
      <c r="B247" s="5" t="s">
        <v>546</v>
      </c>
      <c r="C247" s="4">
        <f>1806-1557</f>
        <v>249</v>
      </c>
      <c r="D247" s="5" t="s">
        <v>547</v>
      </c>
      <c r="E247" s="4"/>
      <c r="F247" s="5" t="s">
        <v>55</v>
      </c>
      <c r="G247" s="4" t="s">
        <v>14</v>
      </c>
    </row>
    <row r="248" spans="1:7" ht="12.75">
      <c r="A248" s="4">
        <v>247</v>
      </c>
      <c r="B248" s="5" t="s">
        <v>548</v>
      </c>
      <c r="C248" s="4">
        <f>1643-6213</f>
        <v>-4570</v>
      </c>
      <c r="D248" s="5" t="s">
        <v>549</v>
      </c>
      <c r="E248" s="4"/>
      <c r="F248" s="5" t="s">
        <v>20</v>
      </c>
      <c r="G248" s="4" t="s">
        <v>14</v>
      </c>
    </row>
    <row r="249" spans="1:7" ht="12.75">
      <c r="A249" s="4">
        <v>248</v>
      </c>
      <c r="B249" s="5" t="s">
        <v>550</v>
      </c>
      <c r="C249" s="4">
        <f>3554+1431</f>
        <v>4985</v>
      </c>
      <c r="D249" s="5" t="s">
        <v>551</v>
      </c>
      <c r="E249" s="4"/>
      <c r="F249" s="5" t="s">
        <v>9</v>
      </c>
      <c r="G249" s="5" t="s">
        <v>10</v>
      </c>
    </row>
    <row r="250" spans="1:7" ht="12.75">
      <c r="A250" s="4">
        <v>249</v>
      </c>
      <c r="B250" s="5" t="s">
        <v>552</v>
      </c>
      <c r="C250" s="4">
        <f>-2010+5730</f>
        <v>3720</v>
      </c>
      <c r="D250" s="5" t="s">
        <v>553</v>
      </c>
      <c r="E250" s="4"/>
      <c r="F250" s="5" t="s">
        <v>13</v>
      </c>
      <c r="G250" s="4" t="s">
        <v>14</v>
      </c>
    </row>
    <row r="251" spans="1:7" ht="12.75">
      <c r="A251" s="4">
        <v>250</v>
      </c>
      <c r="B251" s="5" t="s">
        <v>554</v>
      </c>
      <c r="C251" s="4">
        <f>410+7330</f>
        <v>7740</v>
      </c>
      <c r="D251" s="5" t="s">
        <v>555</v>
      </c>
      <c r="E251" s="4"/>
      <c r="F251" s="5" t="s">
        <v>27</v>
      </c>
      <c r="G251" s="4" t="s">
        <v>14</v>
      </c>
    </row>
    <row r="252" spans="1:7" ht="12.75">
      <c r="A252" s="4">
        <v>251</v>
      </c>
      <c r="B252" s="5" t="s">
        <v>556</v>
      </c>
      <c r="C252" s="4">
        <f>-1547+3500</f>
        <v>1953</v>
      </c>
      <c r="D252" s="5" t="s">
        <v>557</v>
      </c>
      <c r="E252" s="4"/>
      <c r="F252" s="5" t="s">
        <v>10</v>
      </c>
      <c r="G252" s="4" t="s">
        <v>14</v>
      </c>
    </row>
    <row r="253" spans="1:7" ht="12.75">
      <c r="A253" s="4">
        <v>252</v>
      </c>
      <c r="B253" s="5" t="s">
        <v>558</v>
      </c>
      <c r="C253" s="4">
        <f>1924-9909</f>
        <v>-7985</v>
      </c>
      <c r="D253" s="5" t="s">
        <v>559</v>
      </c>
      <c r="E253" s="5" t="s">
        <v>560</v>
      </c>
      <c r="F253" s="5" t="s">
        <v>199</v>
      </c>
      <c r="G253" s="5" t="s">
        <v>190</v>
      </c>
    </row>
    <row r="254" spans="1:7" ht="12.75">
      <c r="A254" s="4">
        <v>253</v>
      </c>
      <c r="B254" s="5" t="s">
        <v>558</v>
      </c>
      <c r="C254" s="4">
        <f>2105-8646</f>
        <v>-6541</v>
      </c>
      <c r="D254" s="5" t="s">
        <v>561</v>
      </c>
      <c r="E254" s="7" t="s">
        <v>562</v>
      </c>
      <c r="F254" s="5" t="s">
        <v>199</v>
      </c>
      <c r="G254" s="5" t="s">
        <v>190</v>
      </c>
    </row>
    <row r="255" spans="1:7" ht="12.75">
      <c r="A255" s="4">
        <v>254</v>
      </c>
      <c r="B255" s="5" t="s">
        <v>558</v>
      </c>
      <c r="C255" s="4">
        <f>2058-8937</f>
        <v>-6879</v>
      </c>
      <c r="D255" s="5" t="s">
        <v>563</v>
      </c>
      <c r="E255" s="7" t="s">
        <v>564</v>
      </c>
      <c r="F255" s="5" t="s">
        <v>199</v>
      </c>
      <c r="G255" s="5" t="s">
        <v>190</v>
      </c>
    </row>
    <row r="256" spans="1:7" ht="12.75">
      <c r="A256" s="4">
        <v>255</v>
      </c>
      <c r="B256" s="5" t="s">
        <v>558</v>
      </c>
      <c r="C256" s="4">
        <f>2540-10019</f>
        <v>-7479</v>
      </c>
      <c r="D256" s="5" t="s">
        <v>565</v>
      </c>
      <c r="E256" s="7" t="s">
        <v>566</v>
      </c>
      <c r="F256" s="5" t="s">
        <v>199</v>
      </c>
      <c r="G256" s="5" t="s">
        <v>190</v>
      </c>
    </row>
    <row r="257" spans="1:7" ht="12.75">
      <c r="A257" s="4">
        <v>256</v>
      </c>
      <c r="B257" s="5" t="s">
        <v>558</v>
      </c>
      <c r="C257" s="4">
        <f>2550-9730</f>
        <v>-7180</v>
      </c>
      <c r="D257" s="5" t="s">
        <v>567</v>
      </c>
      <c r="E257" s="4" t="s">
        <v>568</v>
      </c>
      <c r="F257" s="5" t="s">
        <v>199</v>
      </c>
      <c r="G257" s="5" t="s">
        <v>190</v>
      </c>
    </row>
    <row r="258" spans="1:7" ht="12.75">
      <c r="A258" s="4">
        <v>257</v>
      </c>
      <c r="B258" s="5" t="s">
        <v>558</v>
      </c>
      <c r="C258" s="4">
        <f>2313-10625</f>
        <v>-8312</v>
      </c>
      <c r="D258" s="5" t="s">
        <v>569</v>
      </c>
      <c r="E258" s="7" t="s">
        <v>570</v>
      </c>
      <c r="F258" s="5" t="s">
        <v>243</v>
      </c>
      <c r="G258" s="5" t="s">
        <v>199</v>
      </c>
    </row>
    <row r="259" spans="1:7" ht="12.75">
      <c r="A259" s="4">
        <v>258</v>
      </c>
      <c r="B259" s="5" t="s">
        <v>558</v>
      </c>
      <c r="C259" s="4">
        <f>2838-10605</f>
        <v>-7767</v>
      </c>
      <c r="D259" s="5" t="s">
        <v>571</v>
      </c>
      <c r="E259" s="4" t="s">
        <v>572</v>
      </c>
      <c r="F259" s="5" t="s">
        <v>243</v>
      </c>
      <c r="G259" s="5" t="s">
        <v>199</v>
      </c>
    </row>
    <row r="260" spans="1:7" ht="12.75">
      <c r="A260" s="4">
        <v>259</v>
      </c>
      <c r="B260" s="5" t="s">
        <v>558</v>
      </c>
      <c r="C260" s="4">
        <f>2934-10425</f>
        <v>-7491</v>
      </c>
      <c r="D260" s="5" t="s">
        <v>573</v>
      </c>
      <c r="E260" s="4" t="s">
        <v>574</v>
      </c>
      <c r="F260" s="5" t="s">
        <v>243</v>
      </c>
      <c r="G260" s="5" t="s">
        <v>199</v>
      </c>
    </row>
    <row r="261" spans="1:7" ht="12.75">
      <c r="A261" s="4">
        <v>260</v>
      </c>
      <c r="B261" s="5" t="s">
        <v>558</v>
      </c>
      <c r="C261" s="4">
        <f>2904-11058</f>
        <v>-8154</v>
      </c>
      <c r="D261" s="5" t="s">
        <v>575</v>
      </c>
      <c r="E261" s="7" t="s">
        <v>576</v>
      </c>
      <c r="F261" s="5" t="s">
        <v>243</v>
      </c>
      <c r="G261" s="4" t="s">
        <v>14</v>
      </c>
    </row>
    <row r="262" spans="1:7" ht="12.75">
      <c r="A262" s="4">
        <v>261</v>
      </c>
      <c r="B262" s="5" t="s">
        <v>558</v>
      </c>
      <c r="C262" s="4">
        <f>3232-11701</f>
        <v>-8469</v>
      </c>
      <c r="D262" s="5" t="s">
        <v>577</v>
      </c>
      <c r="E262" s="4" t="s">
        <v>578</v>
      </c>
      <c r="F262" s="5" t="s">
        <v>254</v>
      </c>
      <c r="G262" s="5" t="s">
        <v>243</v>
      </c>
    </row>
    <row r="263" spans="1:7" ht="12.75">
      <c r="A263" s="4">
        <v>262</v>
      </c>
      <c r="B263" s="5" t="s">
        <v>558</v>
      </c>
      <c r="C263" s="4">
        <f>3018-11452</f>
        <v>-8434</v>
      </c>
      <c r="D263" s="5" t="s">
        <v>579</v>
      </c>
      <c r="E263" s="4" t="s">
        <v>580</v>
      </c>
      <c r="F263" s="5" t="s">
        <v>254</v>
      </c>
      <c r="G263" s="5" t="s">
        <v>243</v>
      </c>
    </row>
    <row r="264" spans="1:7" ht="12.75">
      <c r="A264" s="4">
        <v>263</v>
      </c>
      <c r="B264" s="5" t="s">
        <v>581</v>
      </c>
      <c r="C264" s="4">
        <f>310+10142</f>
        <v>10452</v>
      </c>
      <c r="D264" s="5" t="s">
        <v>582</v>
      </c>
      <c r="E264" s="4" t="s">
        <v>583</v>
      </c>
      <c r="F264" s="5" t="s">
        <v>52</v>
      </c>
      <c r="G264" s="4" t="s">
        <v>14</v>
      </c>
    </row>
    <row r="265" spans="1:7" ht="12.75">
      <c r="A265" s="4">
        <v>264</v>
      </c>
      <c r="B265" s="5" t="s">
        <v>581</v>
      </c>
      <c r="C265" s="4">
        <f>133+11020</f>
        <v>11153</v>
      </c>
      <c r="D265" s="5" t="s">
        <v>584</v>
      </c>
      <c r="E265" s="4" t="s">
        <v>585</v>
      </c>
      <c r="F265" s="5" t="s">
        <v>52</v>
      </c>
      <c r="G265" s="4" t="s">
        <v>14</v>
      </c>
    </row>
    <row r="266" spans="1:7" ht="12.75">
      <c r="A266" s="4">
        <v>265</v>
      </c>
      <c r="B266" s="5" t="s">
        <v>586</v>
      </c>
      <c r="C266" s="4">
        <f>-2558+3235</f>
        <v>677</v>
      </c>
      <c r="D266" s="5" t="s">
        <v>587</v>
      </c>
      <c r="E266" s="4"/>
      <c r="F266" s="5" t="s">
        <v>10</v>
      </c>
      <c r="G266" s="4" t="s">
        <v>14</v>
      </c>
    </row>
    <row r="267" spans="1:7" ht="12.75">
      <c r="A267" s="4">
        <v>266</v>
      </c>
      <c r="B267" s="5" t="s">
        <v>588</v>
      </c>
      <c r="C267" s="4">
        <f>-2234+1706</f>
        <v>-528</v>
      </c>
      <c r="D267" s="5" t="s">
        <v>589</v>
      </c>
      <c r="E267" s="4"/>
      <c r="F267" s="5" t="s">
        <v>9</v>
      </c>
      <c r="G267" s="5" t="s">
        <v>10</v>
      </c>
    </row>
    <row r="268" spans="1:7" ht="12.75">
      <c r="A268" s="4">
        <v>267</v>
      </c>
      <c r="B268" s="5" t="s">
        <v>590</v>
      </c>
      <c r="C268" s="4">
        <f>-2216+16627</f>
        <v>14411</v>
      </c>
      <c r="D268" s="5" t="s">
        <v>591</v>
      </c>
      <c r="E268" s="4"/>
      <c r="F268" s="5" t="s">
        <v>97</v>
      </c>
      <c r="G268" s="4" t="s">
        <v>14</v>
      </c>
    </row>
    <row r="269" spans="1:7" ht="12.75">
      <c r="A269" s="4">
        <v>268</v>
      </c>
      <c r="B269" s="5" t="s">
        <v>592</v>
      </c>
      <c r="C269" s="4">
        <f>1331+207</f>
        <v>1538</v>
      </c>
      <c r="D269" s="5" t="s">
        <v>593</v>
      </c>
      <c r="E269" s="4"/>
      <c r="F269" s="5" t="s">
        <v>9</v>
      </c>
      <c r="G269" s="4" t="s">
        <v>14</v>
      </c>
    </row>
    <row r="270" spans="1:7" ht="12.75">
      <c r="A270" s="4">
        <v>269</v>
      </c>
      <c r="B270" s="5" t="s">
        <v>594</v>
      </c>
      <c r="C270" s="4">
        <f>-2903+16758</f>
        <v>13855</v>
      </c>
      <c r="D270" s="5" t="s">
        <v>595</v>
      </c>
      <c r="E270" s="4"/>
      <c r="F270" s="5" t="s">
        <v>596</v>
      </c>
      <c r="G270" s="4" t="s">
        <v>14</v>
      </c>
    </row>
    <row r="271" spans="1:7" ht="12.75">
      <c r="A271" s="4">
        <v>270</v>
      </c>
      <c r="B271" s="5" t="s">
        <v>597</v>
      </c>
      <c r="C271" s="4">
        <f>627+324</f>
        <v>951</v>
      </c>
      <c r="D271" s="5" t="s">
        <v>598</v>
      </c>
      <c r="E271" s="4"/>
      <c r="F271" s="5" t="s">
        <v>9</v>
      </c>
      <c r="G271" s="4" t="s">
        <v>14</v>
      </c>
    </row>
    <row r="272" spans="1:7" ht="12.75">
      <c r="A272" s="4">
        <v>271</v>
      </c>
      <c r="B272" s="5" t="s">
        <v>599</v>
      </c>
      <c r="C272" s="4">
        <f>1209-8617</f>
        <v>-7408</v>
      </c>
      <c r="D272" s="5" t="s">
        <v>600</v>
      </c>
      <c r="E272" s="4"/>
      <c r="F272" s="5" t="s">
        <v>199</v>
      </c>
      <c r="G272" s="4" t="s">
        <v>14</v>
      </c>
    </row>
    <row r="273" spans="1:7" ht="12.75">
      <c r="A273" s="4">
        <v>272</v>
      </c>
      <c r="B273" s="5" t="s">
        <v>601</v>
      </c>
      <c r="C273" s="4">
        <f>5222+454</f>
        <v>5676</v>
      </c>
      <c r="D273" s="5" t="s">
        <v>602</v>
      </c>
      <c r="E273" s="4"/>
      <c r="F273" s="5" t="s">
        <v>9</v>
      </c>
      <c r="G273" s="5" t="s">
        <v>10</v>
      </c>
    </row>
    <row r="274" spans="1:7" ht="12.75">
      <c r="A274" s="4">
        <v>273</v>
      </c>
      <c r="B274" s="5" t="s">
        <v>603</v>
      </c>
      <c r="C274" s="4">
        <f>5955+1045</f>
        <v>7000</v>
      </c>
      <c r="D274" s="5" t="s">
        <v>604</v>
      </c>
      <c r="E274" s="4"/>
      <c r="F274" s="5" t="s">
        <v>9</v>
      </c>
      <c r="G274" s="5" t="s">
        <v>10</v>
      </c>
    </row>
    <row r="275" spans="1:7" ht="12.75">
      <c r="A275" s="4">
        <v>274</v>
      </c>
      <c r="B275" s="5" t="s">
        <v>605</v>
      </c>
      <c r="C275" s="4">
        <f>2743+8519</f>
        <v>11262</v>
      </c>
      <c r="D275" s="5" t="s">
        <v>606</v>
      </c>
      <c r="E275" s="4"/>
      <c r="F275" s="5" t="s">
        <v>607</v>
      </c>
      <c r="G275" s="4" t="s">
        <v>14</v>
      </c>
    </row>
    <row r="276" spans="1:7" ht="12.75">
      <c r="A276" s="4">
        <v>275</v>
      </c>
      <c r="B276" s="5" t="s">
        <v>608</v>
      </c>
      <c r="C276" s="4">
        <f>-31+16655</f>
        <v>16624</v>
      </c>
      <c r="D276" s="5" t="s">
        <v>609</v>
      </c>
      <c r="E276" s="4"/>
      <c r="F276" s="5" t="s">
        <v>35</v>
      </c>
      <c r="G276" s="4" t="s">
        <v>14</v>
      </c>
    </row>
    <row r="277" spans="1:7" ht="12.75">
      <c r="A277" s="4">
        <v>276</v>
      </c>
      <c r="B277" s="5" t="s">
        <v>610</v>
      </c>
      <c r="C277" s="4">
        <f>-1901-16955</f>
        <v>-18856</v>
      </c>
      <c r="D277" s="5" t="s">
        <v>611</v>
      </c>
      <c r="E277" s="4"/>
      <c r="F277" s="5" t="s">
        <v>90</v>
      </c>
      <c r="G277" s="4" t="s">
        <v>14</v>
      </c>
    </row>
    <row r="278" spans="1:7" ht="12.75">
      <c r="A278" s="4">
        <v>277</v>
      </c>
      <c r="B278" s="5" t="s">
        <v>612</v>
      </c>
      <c r="C278" s="4">
        <f>-3652+17446</f>
        <v>13794</v>
      </c>
      <c r="D278" s="5" t="s">
        <v>613</v>
      </c>
      <c r="E278" s="4" t="s">
        <v>379</v>
      </c>
      <c r="F278" s="5" t="s">
        <v>35</v>
      </c>
      <c r="G278" s="5" t="s">
        <v>36</v>
      </c>
    </row>
    <row r="279" spans="1:7" ht="12.75">
      <c r="A279" s="4">
        <v>278</v>
      </c>
      <c r="B279" s="5" t="s">
        <v>612</v>
      </c>
      <c r="C279" s="4">
        <f>-4357-17633</f>
        <v>-21990</v>
      </c>
      <c r="D279" s="5" t="s">
        <v>614</v>
      </c>
      <c r="E279" s="5" t="s">
        <v>615</v>
      </c>
      <c r="F279" s="5" t="s">
        <v>616</v>
      </c>
      <c r="G279" s="5" t="s">
        <v>617</v>
      </c>
    </row>
    <row r="280" spans="1:7" ht="12.75">
      <c r="A280" s="4">
        <v>279</v>
      </c>
      <c r="B280" s="5" t="s">
        <v>618</v>
      </c>
      <c r="C280" s="4">
        <f>2336+5835</f>
        <v>8171</v>
      </c>
      <c r="D280" s="5" t="s">
        <v>619</v>
      </c>
      <c r="E280" s="4"/>
      <c r="F280" s="5" t="s">
        <v>13</v>
      </c>
      <c r="G280" s="4" t="s">
        <v>14</v>
      </c>
    </row>
    <row r="281" spans="1:7" ht="12.75">
      <c r="A281" s="4">
        <v>280</v>
      </c>
      <c r="B281" s="5" t="s">
        <v>620</v>
      </c>
      <c r="C281" s="4">
        <f>858-7932</f>
        <v>-7074</v>
      </c>
      <c r="D281" s="5" t="s">
        <v>621</v>
      </c>
      <c r="E281" s="4"/>
      <c r="F281" s="5" t="s">
        <v>190</v>
      </c>
      <c r="G281" s="4" t="s">
        <v>14</v>
      </c>
    </row>
    <row r="282" spans="1:7" ht="12.75">
      <c r="A282" s="4">
        <v>281</v>
      </c>
      <c r="B282" s="5" t="s">
        <v>622</v>
      </c>
      <c r="C282" s="4">
        <f>-1203-7703</f>
        <v>-8906</v>
      </c>
      <c r="D282" s="5" t="s">
        <v>623</v>
      </c>
      <c r="E282" s="4"/>
      <c r="F282" s="5" t="s">
        <v>190</v>
      </c>
      <c r="G282" s="4" t="s">
        <v>14</v>
      </c>
    </row>
    <row r="283" spans="1:7" ht="12.75">
      <c r="A283" s="4">
        <v>282</v>
      </c>
      <c r="B283" s="5" t="s">
        <v>624</v>
      </c>
      <c r="C283" s="4">
        <f>-1732-14934</f>
        <v>-16666</v>
      </c>
      <c r="D283" s="5" t="s">
        <v>625</v>
      </c>
      <c r="E283" s="5" t="s">
        <v>626</v>
      </c>
      <c r="F283" s="5" t="s">
        <v>277</v>
      </c>
      <c r="G283" s="4" t="s">
        <v>14</v>
      </c>
    </row>
    <row r="284" spans="1:7" ht="12.75">
      <c r="A284" s="4">
        <v>283</v>
      </c>
      <c r="B284" s="5" t="s">
        <v>624</v>
      </c>
      <c r="C284" s="4">
        <f>-900-13930</f>
        <v>-14830</v>
      </c>
      <c r="D284" s="5" t="s">
        <v>627</v>
      </c>
      <c r="E284" s="5" t="s">
        <v>628</v>
      </c>
      <c r="F284" s="5" t="s">
        <v>629</v>
      </c>
      <c r="G284" s="4" t="s">
        <v>14</v>
      </c>
    </row>
    <row r="285" spans="1:7" ht="12.75">
      <c r="A285" s="4">
        <v>284</v>
      </c>
      <c r="B285" s="5" t="s">
        <v>624</v>
      </c>
      <c r="C285" s="4">
        <f>-2308-13457</f>
        <v>-15765</v>
      </c>
      <c r="D285" s="5" t="s">
        <v>630</v>
      </c>
      <c r="E285" s="5" t="s">
        <v>631</v>
      </c>
      <c r="F285" s="5" t="s">
        <v>632</v>
      </c>
      <c r="G285" s="4" t="s">
        <v>14</v>
      </c>
    </row>
    <row r="286" spans="1:7" ht="12.75">
      <c r="A286" s="4">
        <v>285</v>
      </c>
      <c r="B286" s="5" t="s">
        <v>633</v>
      </c>
      <c r="C286" s="4">
        <f>-930+14710</f>
        <v>13780</v>
      </c>
      <c r="D286" s="5" t="s">
        <v>634</v>
      </c>
      <c r="E286" s="4"/>
      <c r="F286" s="5" t="s">
        <v>58</v>
      </c>
      <c r="G286" s="4" t="s">
        <v>14</v>
      </c>
    </row>
    <row r="287" spans="1:7" ht="12.75">
      <c r="A287" s="4">
        <v>286</v>
      </c>
      <c r="B287" s="5" t="s">
        <v>635</v>
      </c>
      <c r="C287" s="4">
        <f>1435+12100</f>
        <v>13535</v>
      </c>
      <c r="D287" s="5" t="s">
        <v>636</v>
      </c>
      <c r="E287" s="4"/>
      <c r="F287" s="5" t="s">
        <v>52</v>
      </c>
      <c r="G287" s="4" t="s">
        <v>14</v>
      </c>
    </row>
    <row r="288" spans="1:7" ht="12.75">
      <c r="A288" s="4">
        <v>287</v>
      </c>
      <c r="B288" s="5" t="s">
        <v>637</v>
      </c>
      <c r="C288" s="4">
        <f>2452+6703</f>
        <v>9155</v>
      </c>
      <c r="D288" s="5" t="s">
        <v>638</v>
      </c>
      <c r="E288" s="4"/>
      <c r="F288" s="5" t="s">
        <v>27</v>
      </c>
      <c r="G288" s="4" t="s">
        <v>14</v>
      </c>
    </row>
    <row r="289" spans="1:7" ht="12.75">
      <c r="A289" s="4">
        <v>288</v>
      </c>
      <c r="B289" s="5" t="s">
        <v>639</v>
      </c>
      <c r="C289" s="4">
        <f>5215+2100</f>
        <v>7315</v>
      </c>
      <c r="D289" s="5" t="s">
        <v>640</v>
      </c>
      <c r="E289" s="4"/>
      <c r="F289" s="5" t="s">
        <v>9</v>
      </c>
      <c r="G289" s="5" t="s">
        <v>10</v>
      </c>
    </row>
    <row r="290" spans="1:7" ht="12.75">
      <c r="A290" s="4">
        <v>289</v>
      </c>
      <c r="B290" s="5" t="s">
        <v>641</v>
      </c>
      <c r="C290" s="4">
        <f>4703-5620</f>
        <v>-917</v>
      </c>
      <c r="D290" s="5" t="s">
        <v>642</v>
      </c>
      <c r="E290" s="4"/>
      <c r="F290" s="5" t="s">
        <v>41</v>
      </c>
      <c r="G290" s="5" t="s">
        <v>65</v>
      </c>
    </row>
    <row r="291" spans="1:7" ht="12.75">
      <c r="A291" s="4">
        <v>290</v>
      </c>
      <c r="B291" s="5" t="s">
        <v>643</v>
      </c>
      <c r="C291" s="4">
        <f>-2504-13005</f>
        <v>-15509</v>
      </c>
      <c r="D291" s="5" t="s">
        <v>644</v>
      </c>
      <c r="E291" s="4"/>
      <c r="F291" s="5" t="s">
        <v>254</v>
      </c>
      <c r="G291" s="4" t="s">
        <v>14</v>
      </c>
    </row>
    <row r="292" spans="1:7" ht="12.75">
      <c r="A292" s="4">
        <v>291</v>
      </c>
      <c r="B292" s="5" t="s">
        <v>645</v>
      </c>
      <c r="C292" s="4">
        <f>182806-660622</f>
        <v>-477816</v>
      </c>
      <c r="D292" s="5" t="s">
        <v>646</v>
      </c>
      <c r="E292" s="4"/>
      <c r="F292" s="5" t="s">
        <v>20</v>
      </c>
      <c r="G292" s="4" t="s">
        <v>14</v>
      </c>
    </row>
    <row r="293" spans="1:7" ht="12.75">
      <c r="A293" s="4">
        <v>292</v>
      </c>
      <c r="B293" s="5" t="s">
        <v>647</v>
      </c>
      <c r="C293" s="4">
        <f>3130+3428</f>
        <v>6558</v>
      </c>
      <c r="D293" s="5" t="s">
        <v>648</v>
      </c>
      <c r="E293" s="4"/>
      <c r="F293" s="5" t="s">
        <v>10</v>
      </c>
      <c r="G293" s="5" t="s">
        <v>61</v>
      </c>
    </row>
    <row r="294" spans="1:7" ht="12.75">
      <c r="A294" s="4">
        <v>293</v>
      </c>
      <c r="B294" s="5" t="s">
        <v>649</v>
      </c>
      <c r="C294" s="4">
        <f>3843-908</f>
        <v>2935</v>
      </c>
      <c r="D294" s="5" t="s">
        <v>650</v>
      </c>
      <c r="E294" s="4" t="s">
        <v>325</v>
      </c>
      <c r="F294" s="5" t="s">
        <v>55</v>
      </c>
      <c r="G294" s="5" t="s">
        <v>9</v>
      </c>
    </row>
    <row r="295" spans="1:7" ht="12.75">
      <c r="A295" s="4">
        <v>294</v>
      </c>
      <c r="B295" s="5" t="s">
        <v>649</v>
      </c>
      <c r="C295" s="4">
        <f>3238-1654</f>
        <v>1584</v>
      </c>
      <c r="D295" s="5" t="s">
        <v>651</v>
      </c>
      <c r="E295" s="5" t="s">
        <v>652</v>
      </c>
      <c r="F295" s="5" t="s">
        <v>55</v>
      </c>
      <c r="G295" s="5" t="s">
        <v>9</v>
      </c>
    </row>
    <row r="296" spans="1:7" ht="12.75">
      <c r="A296" s="4">
        <v>295</v>
      </c>
      <c r="B296" s="5" t="s">
        <v>649</v>
      </c>
      <c r="C296" s="4">
        <f>3744-2540</f>
        <v>1204</v>
      </c>
      <c r="D296" s="5" t="s">
        <v>653</v>
      </c>
      <c r="E296" s="5" t="s">
        <v>654</v>
      </c>
      <c r="F296" s="5" t="s">
        <v>304</v>
      </c>
      <c r="G296" s="5" t="s">
        <v>55</v>
      </c>
    </row>
    <row r="297" spans="1:7" ht="12.75">
      <c r="A297" s="4">
        <v>296</v>
      </c>
      <c r="B297" s="5" t="s">
        <v>655</v>
      </c>
      <c r="C297" s="4">
        <f>720+13429</f>
        <v>14149</v>
      </c>
      <c r="D297" s="5" t="s">
        <v>656</v>
      </c>
      <c r="E297" s="4"/>
      <c r="F297" s="5" t="s">
        <v>425</v>
      </c>
      <c r="G297" s="4" t="s">
        <v>14</v>
      </c>
    </row>
    <row r="298" spans="1:7" ht="12.75">
      <c r="A298" s="4">
        <v>297</v>
      </c>
      <c r="B298" s="5" t="s">
        <v>657</v>
      </c>
      <c r="C298" s="4">
        <f>-2516-5740</f>
        <v>-8256</v>
      </c>
      <c r="D298" s="5" t="s">
        <v>658</v>
      </c>
      <c r="E298" s="4"/>
      <c r="F298" s="5" t="s">
        <v>20</v>
      </c>
      <c r="G298" s="5" t="s">
        <v>41</v>
      </c>
    </row>
    <row r="299" spans="1:7" ht="12.75">
      <c r="A299" s="4">
        <v>298</v>
      </c>
      <c r="B299" s="5" t="s">
        <v>659</v>
      </c>
      <c r="C299" s="4">
        <f>2517+5132</f>
        <v>7649</v>
      </c>
      <c r="D299" s="5" t="s">
        <v>660</v>
      </c>
      <c r="E299" s="4"/>
      <c r="F299" s="5" t="s">
        <v>61</v>
      </c>
      <c r="G299" s="4" t="s">
        <v>14</v>
      </c>
    </row>
    <row r="300" spans="1:7" ht="12.75">
      <c r="A300" s="4">
        <v>299</v>
      </c>
      <c r="B300" s="5" t="s">
        <v>661</v>
      </c>
      <c r="C300" s="4">
        <f>-2052+5528</f>
        <v>3476</v>
      </c>
      <c r="D300" s="5" t="s">
        <v>662</v>
      </c>
      <c r="E300" s="4"/>
      <c r="F300" s="5" t="s">
        <v>13</v>
      </c>
      <c r="G300" s="4" t="s">
        <v>14</v>
      </c>
    </row>
    <row r="301" spans="1:7" ht="12.75">
      <c r="A301" s="4">
        <v>300</v>
      </c>
      <c r="B301" s="5" t="s">
        <v>663</v>
      </c>
      <c r="C301" s="4">
        <f>4426+2606</f>
        <v>7032</v>
      </c>
      <c r="D301" s="5" t="s">
        <v>664</v>
      </c>
      <c r="E301" s="4"/>
      <c r="F301" s="5" t="s">
        <v>10</v>
      </c>
      <c r="G301" s="5" t="s">
        <v>61</v>
      </c>
    </row>
    <row r="302" spans="1:7" ht="12.75">
      <c r="A302" s="4">
        <v>301</v>
      </c>
      <c r="B302" s="5" t="s">
        <v>665</v>
      </c>
      <c r="C302" s="4">
        <f>4450+2030</f>
        <v>6480</v>
      </c>
      <c r="D302" s="5" t="s">
        <v>666</v>
      </c>
      <c r="E302" s="4"/>
      <c r="F302" s="5" t="s">
        <v>9</v>
      </c>
      <c r="G302" s="5" t="s">
        <v>10</v>
      </c>
    </row>
    <row r="303" spans="1:7" ht="12.75">
      <c r="A303" s="4">
        <v>302</v>
      </c>
      <c r="B303" s="5" t="s">
        <v>667</v>
      </c>
      <c r="C303" s="4">
        <f>5443+2030</f>
        <v>7473</v>
      </c>
      <c r="D303" s="5" t="s">
        <v>668</v>
      </c>
      <c r="E303" s="7" t="s">
        <v>669</v>
      </c>
      <c r="F303" s="5" t="s">
        <v>61</v>
      </c>
      <c r="G303" s="4" t="s">
        <v>14</v>
      </c>
    </row>
    <row r="304" spans="1:7" ht="12.75">
      <c r="A304" s="4">
        <v>303</v>
      </c>
      <c r="B304" s="5" t="s">
        <v>667</v>
      </c>
      <c r="C304" s="4">
        <f>5545+3735</f>
        <v>9280</v>
      </c>
      <c r="D304" s="5" t="s">
        <v>670</v>
      </c>
      <c r="E304" s="7" t="s">
        <v>671</v>
      </c>
      <c r="F304" s="5" t="s">
        <v>13</v>
      </c>
      <c r="G304" s="4" t="s">
        <v>14</v>
      </c>
    </row>
    <row r="305" spans="1:7" ht="12.75">
      <c r="A305" s="4">
        <v>304</v>
      </c>
      <c r="B305" s="5" t="s">
        <v>667</v>
      </c>
      <c r="C305" s="4">
        <f>4844+4425</f>
        <v>9269</v>
      </c>
      <c r="D305" s="5" t="s">
        <v>672</v>
      </c>
      <c r="E305" s="7" t="s">
        <v>673</v>
      </c>
      <c r="F305" s="5" t="s">
        <v>13</v>
      </c>
      <c r="G305" s="4" t="s">
        <v>14</v>
      </c>
    </row>
    <row r="306" spans="1:7" ht="12.75">
      <c r="A306" s="4">
        <v>305</v>
      </c>
      <c r="B306" s="5" t="s">
        <v>667</v>
      </c>
      <c r="C306" s="4">
        <f>5312+5009</f>
        <v>10321</v>
      </c>
      <c r="D306" s="5" t="s">
        <v>674</v>
      </c>
      <c r="E306" s="7" t="s">
        <v>675</v>
      </c>
      <c r="F306" s="5" t="s">
        <v>13</v>
      </c>
      <c r="G306" s="4" t="s">
        <v>14</v>
      </c>
    </row>
    <row r="307" spans="1:7" ht="12.75">
      <c r="A307" s="4">
        <v>306</v>
      </c>
      <c r="B307" s="5" t="s">
        <v>667</v>
      </c>
      <c r="C307" s="4">
        <f>5651+6036</f>
        <v>11687</v>
      </c>
      <c r="D307" s="5" t="s">
        <v>676</v>
      </c>
      <c r="E307" s="7" t="s">
        <v>677</v>
      </c>
      <c r="F307" s="5" t="s">
        <v>46</v>
      </c>
      <c r="G307" s="4" t="s">
        <v>14</v>
      </c>
    </row>
    <row r="308" spans="1:7" ht="12.75">
      <c r="A308" s="4">
        <v>307</v>
      </c>
      <c r="B308" s="5" t="s">
        <v>667</v>
      </c>
      <c r="C308" s="4">
        <f>5500+7324</f>
        <v>12824</v>
      </c>
      <c r="D308" s="5" t="s">
        <v>678</v>
      </c>
      <c r="E308" s="7" t="s">
        <v>679</v>
      </c>
      <c r="F308" s="5" t="s">
        <v>49</v>
      </c>
      <c r="G308" s="4" t="s">
        <v>14</v>
      </c>
    </row>
    <row r="309" spans="1:7" ht="12.75">
      <c r="A309" s="4">
        <v>308</v>
      </c>
      <c r="B309" s="5" t="s">
        <v>667</v>
      </c>
      <c r="C309" s="4">
        <f>5502+8255</f>
        <v>13757</v>
      </c>
      <c r="D309" s="5" t="s">
        <v>680</v>
      </c>
      <c r="E309" s="7" t="s">
        <v>681</v>
      </c>
      <c r="F309" s="5" t="s">
        <v>49</v>
      </c>
      <c r="G309" s="4" t="s">
        <v>14</v>
      </c>
    </row>
    <row r="310" spans="1:7" ht="12.75">
      <c r="A310" s="4">
        <v>309</v>
      </c>
      <c r="B310" s="5" t="s">
        <v>667</v>
      </c>
      <c r="C310" s="4">
        <f>5345+8707</f>
        <v>14052</v>
      </c>
      <c r="D310" s="5" t="s">
        <v>682</v>
      </c>
      <c r="E310" s="7" t="s">
        <v>683</v>
      </c>
      <c r="F310" s="5" t="s">
        <v>49</v>
      </c>
      <c r="G310" s="4" t="s">
        <v>14</v>
      </c>
    </row>
    <row r="311" spans="1:7" ht="12.75">
      <c r="A311" s="4">
        <v>310</v>
      </c>
      <c r="B311" s="5" t="s">
        <v>667</v>
      </c>
      <c r="C311" s="4">
        <f>5601+9250</f>
        <v>14851</v>
      </c>
      <c r="D311" s="5" t="s">
        <v>684</v>
      </c>
      <c r="E311" s="7" t="s">
        <v>685</v>
      </c>
      <c r="F311" s="5" t="s">
        <v>52</v>
      </c>
      <c r="G311" s="4" t="s">
        <v>14</v>
      </c>
    </row>
    <row r="312" spans="1:7" ht="12.75">
      <c r="A312" s="4">
        <v>311</v>
      </c>
      <c r="B312" s="5" t="s">
        <v>667</v>
      </c>
      <c r="C312" s="4">
        <f>5216+10420</f>
        <v>15636</v>
      </c>
      <c r="D312" s="5" t="s">
        <v>686</v>
      </c>
      <c r="E312" s="7" t="s">
        <v>687</v>
      </c>
      <c r="F312" s="5" t="s">
        <v>425</v>
      </c>
      <c r="G312" s="4" t="s">
        <v>14</v>
      </c>
    </row>
    <row r="313" spans="1:7" ht="12.75">
      <c r="A313" s="4">
        <v>312</v>
      </c>
      <c r="B313" s="5" t="s">
        <v>667</v>
      </c>
      <c r="C313" s="4">
        <f>6200+12940</f>
        <v>19140</v>
      </c>
      <c r="D313" s="5" t="s">
        <v>688</v>
      </c>
      <c r="E313" s="7" t="s">
        <v>689</v>
      </c>
      <c r="F313" s="5" t="s">
        <v>58</v>
      </c>
      <c r="G313" s="4" t="s">
        <v>14</v>
      </c>
    </row>
    <row r="314" spans="1:7" ht="12.75">
      <c r="A314" s="4">
        <v>313</v>
      </c>
      <c r="B314" s="5" t="s">
        <v>667</v>
      </c>
      <c r="C314" s="4">
        <f>4310+13156</f>
        <v>17466</v>
      </c>
      <c r="D314" s="5" t="s">
        <v>690</v>
      </c>
      <c r="E314" s="7" t="s">
        <v>691</v>
      </c>
      <c r="F314" s="5" t="s">
        <v>97</v>
      </c>
      <c r="G314" s="4" t="s">
        <v>14</v>
      </c>
    </row>
    <row r="315" spans="1:7" ht="12.75">
      <c r="A315" s="4">
        <v>314</v>
      </c>
      <c r="B315" s="5" t="s">
        <v>667</v>
      </c>
      <c r="C315" s="4">
        <f>4658+14242</f>
        <v>18900</v>
      </c>
      <c r="D315" s="5" t="s">
        <v>692</v>
      </c>
      <c r="E315" s="7" t="s">
        <v>693</v>
      </c>
      <c r="F315" s="5" t="s">
        <v>97</v>
      </c>
      <c r="G315" s="4" t="s">
        <v>14</v>
      </c>
    </row>
    <row r="316" spans="1:7" ht="12.75">
      <c r="A316" s="4">
        <v>315</v>
      </c>
      <c r="B316" s="5" t="s">
        <v>667</v>
      </c>
      <c r="C316" s="4">
        <f>5934+15048</f>
        <v>20982</v>
      </c>
      <c r="D316" s="5" t="s">
        <v>694</v>
      </c>
      <c r="E316" s="7" t="s">
        <v>695</v>
      </c>
      <c r="F316" s="5" t="s">
        <v>35</v>
      </c>
      <c r="G316" s="4" t="s">
        <v>14</v>
      </c>
    </row>
    <row r="317" spans="1:7" ht="12.75">
      <c r="A317" s="4">
        <v>316</v>
      </c>
      <c r="B317" s="5" t="s">
        <v>667</v>
      </c>
      <c r="C317" s="4">
        <f>5301+15839</f>
        <v>21140</v>
      </c>
      <c r="D317" s="5" t="s">
        <v>696</v>
      </c>
      <c r="E317" s="7" t="s">
        <v>697</v>
      </c>
      <c r="F317" s="5" t="s">
        <v>35</v>
      </c>
      <c r="G317" s="4" t="s">
        <v>14</v>
      </c>
    </row>
    <row r="318" spans="1:7" ht="12.75">
      <c r="A318" s="4">
        <v>317</v>
      </c>
      <c r="B318" s="5" t="s">
        <v>667</v>
      </c>
      <c r="C318" s="4">
        <f>6445+17729</f>
        <v>24174</v>
      </c>
      <c r="D318" s="5" t="s">
        <v>698</v>
      </c>
      <c r="E318" s="7" t="s">
        <v>699</v>
      </c>
      <c r="F318" s="5" t="s">
        <v>35</v>
      </c>
      <c r="G318" s="4" t="s">
        <v>14</v>
      </c>
    </row>
    <row r="319" spans="1:7" ht="12.75">
      <c r="A319" s="4">
        <v>318</v>
      </c>
      <c r="B319" s="5" t="s">
        <v>700</v>
      </c>
      <c r="C319" s="4">
        <f>-157+3004</f>
        <v>2847</v>
      </c>
      <c r="D319" s="5" t="s">
        <v>701</v>
      </c>
      <c r="E319" s="4"/>
      <c r="F319" s="5" t="s">
        <v>10</v>
      </c>
      <c r="G319" s="4" t="s">
        <v>14</v>
      </c>
    </row>
    <row r="320" spans="1:7" ht="12.75">
      <c r="A320" s="4">
        <v>319</v>
      </c>
      <c r="B320" s="5" t="s">
        <v>702</v>
      </c>
      <c r="C320" s="4">
        <f>2438+4643</f>
        <v>7081</v>
      </c>
      <c r="D320" s="5" t="s">
        <v>703</v>
      </c>
      <c r="E320" s="4"/>
      <c r="F320" s="5" t="s">
        <v>61</v>
      </c>
      <c r="G320" s="4" t="s">
        <v>14</v>
      </c>
    </row>
    <row r="321" spans="1:7" ht="12.75">
      <c r="A321" s="4">
        <v>320</v>
      </c>
      <c r="B321" s="5" t="s">
        <v>704</v>
      </c>
      <c r="C321" s="4">
        <f>-932+16012</f>
        <v>15080</v>
      </c>
      <c r="D321" s="5" t="s">
        <v>705</v>
      </c>
      <c r="E321" s="4"/>
      <c r="F321" s="5" t="s">
        <v>97</v>
      </c>
      <c r="G321" s="4" t="s">
        <v>14</v>
      </c>
    </row>
    <row r="322" spans="1:7" ht="12.75">
      <c r="A322" s="4">
        <v>321</v>
      </c>
      <c r="B322" s="5" t="s">
        <v>706</v>
      </c>
      <c r="C322" s="4">
        <f>-440+5528</f>
        <v>5088</v>
      </c>
      <c r="D322" s="5" t="s">
        <v>707</v>
      </c>
      <c r="E322" s="4"/>
      <c r="F322" s="5" t="s">
        <v>13</v>
      </c>
      <c r="G322" s="4" t="s">
        <v>14</v>
      </c>
    </row>
    <row r="323" spans="1:7" ht="12.75">
      <c r="A323" s="4">
        <v>322</v>
      </c>
      <c r="B323" s="5" t="s">
        <v>708</v>
      </c>
      <c r="C323" s="4">
        <f>1536+3232</f>
        <v>4768</v>
      </c>
      <c r="D323" s="5" t="s">
        <v>709</v>
      </c>
      <c r="E323" s="4"/>
      <c r="F323" s="5" t="s">
        <v>61</v>
      </c>
      <c r="G323" s="4" t="s">
        <v>14</v>
      </c>
    </row>
    <row r="324" spans="1:7" ht="12.75">
      <c r="A324" s="4">
        <v>323</v>
      </c>
      <c r="B324" s="5" t="s">
        <v>710</v>
      </c>
      <c r="C324" s="4">
        <f>5920+1803</f>
        <v>7723</v>
      </c>
      <c r="D324" s="5" t="s">
        <v>711</v>
      </c>
      <c r="E324" s="4"/>
      <c r="F324" s="5" t="s">
        <v>9</v>
      </c>
      <c r="G324" s="5" t="s">
        <v>10</v>
      </c>
    </row>
    <row r="325" spans="1:7" ht="12.75">
      <c r="A325" s="4">
        <v>324</v>
      </c>
      <c r="B325" s="5" t="s">
        <v>712</v>
      </c>
      <c r="C325" s="4">
        <f>117+10351</f>
        <v>10468</v>
      </c>
      <c r="D325" s="5" t="s">
        <v>713</v>
      </c>
      <c r="E325" s="4"/>
      <c r="F325" s="5" t="s">
        <v>52</v>
      </c>
      <c r="G325" s="4" t="s">
        <v>14</v>
      </c>
    </row>
    <row r="326" spans="1:7" ht="12.75">
      <c r="A326" s="4">
        <v>325</v>
      </c>
      <c r="B326" s="5" t="s">
        <v>714</v>
      </c>
      <c r="C326" s="4">
        <f>-1555-542</f>
        <v>-2097</v>
      </c>
      <c r="D326" s="5" t="s">
        <v>715</v>
      </c>
      <c r="E326" s="7" t="s">
        <v>716</v>
      </c>
      <c r="F326" s="5" t="s">
        <v>55</v>
      </c>
      <c r="G326" s="4" t="s">
        <v>14</v>
      </c>
    </row>
    <row r="327" spans="1:7" ht="12.75">
      <c r="A327" s="4">
        <v>326</v>
      </c>
      <c r="B327" s="5" t="s">
        <v>717</v>
      </c>
      <c r="C327" s="4">
        <f>4603+1431</f>
        <v>6034</v>
      </c>
      <c r="D327" s="5" t="s">
        <v>718</v>
      </c>
      <c r="E327" s="4"/>
      <c r="F327" s="5" t="s">
        <v>9</v>
      </c>
      <c r="G327" s="5" t="s">
        <v>10</v>
      </c>
    </row>
    <row r="328" spans="1:7" ht="12.75">
      <c r="A328" s="4">
        <v>327</v>
      </c>
      <c r="B328" s="5" t="s">
        <v>719</v>
      </c>
      <c r="C328" s="4">
        <f>7800+1600</f>
        <v>9400</v>
      </c>
      <c r="D328" s="5" t="s">
        <v>720</v>
      </c>
      <c r="E328" s="4"/>
      <c r="F328" s="5" t="s">
        <v>9</v>
      </c>
      <c r="G328" s="5" t="s">
        <v>10</v>
      </c>
    </row>
    <row r="329" spans="1:7" ht="12.75">
      <c r="A329" s="4">
        <v>328</v>
      </c>
      <c r="B329" s="5" t="s">
        <v>721</v>
      </c>
      <c r="C329" s="4">
        <f>4809+1707</f>
        <v>6516</v>
      </c>
      <c r="D329" s="5" t="s">
        <v>722</v>
      </c>
      <c r="E329" s="4"/>
      <c r="F329" s="5" t="s">
        <v>9</v>
      </c>
      <c r="G329" s="5" t="s">
        <v>10</v>
      </c>
    </row>
    <row r="330" spans="1:7" ht="12.75">
      <c r="A330" s="4">
        <v>329</v>
      </c>
      <c r="B330" s="5" t="s">
        <v>723</v>
      </c>
      <c r="C330" s="4">
        <f>830-1315</f>
        <v>-485</v>
      </c>
      <c r="D330" s="5" t="s">
        <v>724</v>
      </c>
      <c r="E330" s="4"/>
      <c r="F330" s="5" t="s">
        <v>55</v>
      </c>
      <c r="G330" s="4" t="s">
        <v>14</v>
      </c>
    </row>
    <row r="331" spans="1:7" ht="12.75">
      <c r="A331" s="4">
        <v>330</v>
      </c>
      <c r="B331" s="5" t="s">
        <v>725</v>
      </c>
      <c r="C331" s="4">
        <f>4355+1228</f>
        <v>5583</v>
      </c>
      <c r="D331" s="5" t="s">
        <v>726</v>
      </c>
      <c r="E331" s="4"/>
      <c r="F331" s="5" t="s">
        <v>9</v>
      </c>
      <c r="G331" s="5" t="s">
        <v>10</v>
      </c>
    </row>
    <row r="332" spans="1:7" ht="12.75">
      <c r="A332" s="4">
        <v>331</v>
      </c>
      <c r="B332" s="5" t="s">
        <v>727</v>
      </c>
      <c r="C332" s="4">
        <f>1440-1726</f>
        <v>-286</v>
      </c>
      <c r="D332" s="5" t="s">
        <v>728</v>
      </c>
      <c r="E332" s="4"/>
      <c r="F332" s="5" t="s">
        <v>55</v>
      </c>
      <c r="G332" s="4" t="s">
        <v>14</v>
      </c>
    </row>
    <row r="333" spans="1:7" ht="12.75">
      <c r="A333" s="4">
        <v>332</v>
      </c>
      <c r="B333" s="5" t="s">
        <v>729</v>
      </c>
      <c r="C333" s="4">
        <f>204+4522</f>
        <v>4726</v>
      </c>
      <c r="D333" s="5" t="s">
        <v>730</v>
      </c>
      <c r="E333" s="4"/>
      <c r="F333" s="5" t="s">
        <v>61</v>
      </c>
      <c r="G333" s="4" t="s">
        <v>14</v>
      </c>
    </row>
    <row r="334" spans="1:7" ht="12.75">
      <c r="A334" s="4">
        <v>333</v>
      </c>
      <c r="B334" s="5" t="s">
        <v>731</v>
      </c>
      <c r="C334" s="4">
        <f>550-5510</f>
        <v>-4960</v>
      </c>
      <c r="D334" s="5" t="s">
        <v>732</v>
      </c>
      <c r="E334" s="4"/>
      <c r="F334" s="5" t="s">
        <v>41</v>
      </c>
      <c r="G334" s="4" t="s">
        <v>14</v>
      </c>
    </row>
    <row r="335" spans="1:7" ht="12.75">
      <c r="A335" s="4" t="s">
        <v>14</v>
      </c>
      <c r="B335" s="5" t="s">
        <v>733</v>
      </c>
      <c r="C335" s="4">
        <f>451+3136</f>
        <v>3587</v>
      </c>
      <c r="D335" s="5" t="s">
        <v>734</v>
      </c>
      <c r="E335" s="4"/>
      <c r="F335" s="5" t="s">
        <v>61</v>
      </c>
      <c r="G335" s="4" t="s">
        <v>14</v>
      </c>
    </row>
    <row r="336" spans="1:7" ht="12.75">
      <c r="A336" s="4">
        <v>334</v>
      </c>
      <c r="B336" s="5" t="s">
        <v>735</v>
      </c>
      <c r="C336" s="4">
        <f>20+644</f>
        <v>664</v>
      </c>
      <c r="D336" s="5" t="s">
        <v>736</v>
      </c>
      <c r="E336" s="4"/>
      <c r="F336" s="5" t="s">
        <v>55</v>
      </c>
      <c r="G336" s="4" t="s">
        <v>14</v>
      </c>
    </row>
    <row r="337" spans="1:7" ht="12.75">
      <c r="A337" s="4">
        <v>335</v>
      </c>
      <c r="B337" s="5" t="s">
        <v>737</v>
      </c>
      <c r="C337" s="4">
        <f>1342-8912</f>
        <v>-7570</v>
      </c>
      <c r="D337" s="5" t="s">
        <v>738</v>
      </c>
      <c r="E337" s="4"/>
      <c r="F337" s="5" t="s">
        <v>199</v>
      </c>
      <c r="G337" s="4" t="s">
        <v>14</v>
      </c>
    </row>
    <row r="338" spans="1:7" ht="12.75">
      <c r="A338" s="4">
        <v>336</v>
      </c>
      <c r="B338" s="5" t="s">
        <v>739</v>
      </c>
      <c r="C338" s="4">
        <f>3330+3618</f>
        <v>6948</v>
      </c>
      <c r="D338" s="5" t="s">
        <v>740</v>
      </c>
      <c r="E338" s="4"/>
      <c r="F338" s="5" t="s">
        <v>10</v>
      </c>
      <c r="G338" s="5" t="s">
        <v>61</v>
      </c>
    </row>
    <row r="339" spans="1:7" ht="12.75">
      <c r="A339" s="4">
        <v>337</v>
      </c>
      <c r="B339" s="5" t="s">
        <v>741</v>
      </c>
      <c r="C339" s="4">
        <f>-2618+3106</f>
        <v>488</v>
      </c>
      <c r="D339" s="5" t="s">
        <v>742</v>
      </c>
      <c r="E339" s="4"/>
      <c r="F339" s="5" t="s">
        <v>10</v>
      </c>
      <c r="G339" s="4" t="s">
        <v>14</v>
      </c>
    </row>
    <row r="340" spans="1:7" ht="12.75">
      <c r="A340" s="4">
        <v>338</v>
      </c>
      <c r="B340" s="5" t="s">
        <v>743</v>
      </c>
      <c r="C340" s="4">
        <f>2128-7108</f>
        <v>-4980</v>
      </c>
      <c r="D340" s="5" t="s">
        <v>744</v>
      </c>
      <c r="E340" s="4"/>
      <c r="F340" s="5" t="s">
        <v>190</v>
      </c>
      <c r="G340" s="5" t="s">
        <v>20</v>
      </c>
    </row>
    <row r="341" spans="1:7" ht="12.75">
      <c r="A341" s="4">
        <v>339</v>
      </c>
      <c r="B341" s="5" t="s">
        <v>745</v>
      </c>
      <c r="C341" s="4">
        <f>1207+1503</f>
        <v>2710</v>
      </c>
      <c r="D341" s="5" t="s">
        <v>746</v>
      </c>
      <c r="E341" s="4"/>
      <c r="F341" s="5" t="s">
        <v>9</v>
      </c>
      <c r="G341" s="4" t="s">
        <v>14</v>
      </c>
    </row>
    <row r="342" spans="1:7" ht="12.75">
      <c r="A342" s="4">
        <v>340</v>
      </c>
      <c r="B342" s="5" t="s">
        <v>747</v>
      </c>
      <c r="C342" s="4">
        <f>-492110+701303</f>
        <v>209193</v>
      </c>
      <c r="D342" s="5" t="s">
        <v>748</v>
      </c>
      <c r="E342" s="4"/>
      <c r="F342" s="5" t="s">
        <v>27</v>
      </c>
      <c r="G342" s="4" t="s">
        <v>14</v>
      </c>
    </row>
    <row r="343" spans="1:7" ht="12.75">
      <c r="A343" s="4">
        <v>341</v>
      </c>
      <c r="B343" s="5" t="s">
        <v>749</v>
      </c>
      <c r="C343" s="4">
        <f>608+113</f>
        <v>721</v>
      </c>
      <c r="D343" s="5" t="s">
        <v>750</v>
      </c>
      <c r="E343" s="4"/>
      <c r="F343" s="5" t="s">
        <v>55</v>
      </c>
      <c r="G343" s="4" t="s">
        <v>14</v>
      </c>
    </row>
    <row r="344" spans="1:7" ht="12.75">
      <c r="A344" s="4">
        <v>342</v>
      </c>
      <c r="B344" s="5" t="s">
        <v>751</v>
      </c>
      <c r="C344" s="4">
        <f>1345+10031</f>
        <v>11376</v>
      </c>
      <c r="D344" s="5" t="s">
        <v>752</v>
      </c>
      <c r="E344" s="4"/>
      <c r="F344" s="5" t="s">
        <v>49</v>
      </c>
      <c r="G344" s="4" t="s">
        <v>14</v>
      </c>
    </row>
    <row r="345" spans="1:7" ht="12.75">
      <c r="A345" s="4">
        <v>343</v>
      </c>
      <c r="B345" s="5" t="s">
        <v>753</v>
      </c>
      <c r="C345" s="4">
        <f>3835+6848</f>
        <v>10683</v>
      </c>
      <c r="D345" s="5" t="s">
        <v>754</v>
      </c>
      <c r="E345" s="4"/>
      <c r="F345" s="5" t="s">
        <v>27</v>
      </c>
      <c r="G345" s="4" t="s">
        <v>14</v>
      </c>
    </row>
    <row r="346" spans="1:7" ht="12.75">
      <c r="A346" s="4">
        <v>344</v>
      </c>
      <c r="B346" s="5" t="s">
        <v>755</v>
      </c>
      <c r="C346" s="4">
        <f>-922-17114</f>
        <v>-18036</v>
      </c>
      <c r="D346" s="5" t="s">
        <v>756</v>
      </c>
      <c r="E346" s="4"/>
      <c r="F346" s="5" t="s">
        <v>467</v>
      </c>
      <c r="G346" s="4" t="s">
        <v>14</v>
      </c>
    </row>
    <row r="347" spans="1:7" ht="12.75">
      <c r="A347" s="4">
        <v>345</v>
      </c>
      <c r="B347" s="5" t="s">
        <v>757</v>
      </c>
      <c r="C347" s="4">
        <f>-833+12535</f>
        <v>11702</v>
      </c>
      <c r="D347" s="5" t="s">
        <v>758</v>
      </c>
      <c r="E347" s="4"/>
      <c r="F347" s="5" t="s">
        <v>425</v>
      </c>
      <c r="G347" s="4" t="s">
        <v>14</v>
      </c>
    </row>
    <row r="348" spans="1:7" ht="12.75">
      <c r="A348" s="4">
        <v>346</v>
      </c>
      <c r="B348" s="5" t="s">
        <v>759</v>
      </c>
      <c r="C348" s="4">
        <f>3757+5823</f>
        <v>9580</v>
      </c>
      <c r="D348" s="5" t="s">
        <v>760</v>
      </c>
      <c r="E348" s="4"/>
      <c r="F348" s="5" t="s">
        <v>27</v>
      </c>
      <c r="G348" s="4" t="s">
        <v>14</v>
      </c>
    </row>
    <row r="349" spans="1:7" ht="12.75">
      <c r="A349" s="4">
        <v>347</v>
      </c>
      <c r="B349" s="5" t="s">
        <v>761</v>
      </c>
      <c r="C349" s="4">
        <f>3648+1011</f>
        <v>4659</v>
      </c>
      <c r="D349" s="5" t="s">
        <v>762</v>
      </c>
      <c r="E349" s="4"/>
      <c r="F349" s="5" t="s">
        <v>9</v>
      </c>
      <c r="G349" s="5" t="s">
        <v>10</v>
      </c>
    </row>
    <row r="350" spans="1:7" ht="12.75">
      <c r="A350" s="4">
        <v>348</v>
      </c>
      <c r="B350" s="5" t="s">
        <v>763</v>
      </c>
      <c r="C350" s="4">
        <f>-2110-17510</f>
        <v>-19620</v>
      </c>
      <c r="D350" s="5" t="s">
        <v>764</v>
      </c>
      <c r="E350" s="4"/>
      <c r="F350" s="5" t="s">
        <v>36</v>
      </c>
      <c r="G350" s="4" t="s">
        <v>14</v>
      </c>
    </row>
    <row r="351" spans="1:7" ht="12.75">
      <c r="A351" s="4">
        <v>349</v>
      </c>
      <c r="B351" s="5" t="s">
        <v>765</v>
      </c>
      <c r="C351" s="4">
        <f>4101+2858</f>
        <v>6959</v>
      </c>
      <c r="D351" s="5" t="s">
        <v>766</v>
      </c>
      <c r="E351" s="4"/>
      <c r="F351" s="5" t="s">
        <v>10</v>
      </c>
      <c r="G351" s="5" t="s">
        <v>61</v>
      </c>
    </row>
    <row r="352" spans="1:7" ht="12.75">
      <c r="A352" s="4">
        <v>350</v>
      </c>
      <c r="B352" s="5" t="s">
        <v>767</v>
      </c>
      <c r="C352" s="4">
        <f>1039-6131</f>
        <v>-5092</v>
      </c>
      <c r="D352" s="5" t="s">
        <v>768</v>
      </c>
      <c r="E352" s="4"/>
      <c r="F352" s="5" t="s">
        <v>20</v>
      </c>
      <c r="G352" s="4" t="s">
        <v>14</v>
      </c>
    </row>
    <row r="353" spans="1:7" ht="12.75">
      <c r="A353" s="4">
        <v>351</v>
      </c>
      <c r="B353" s="5" t="s">
        <v>769</v>
      </c>
      <c r="C353" s="4">
        <f>-831+17913</f>
        <v>17082</v>
      </c>
      <c r="D353" s="5" t="s">
        <v>770</v>
      </c>
      <c r="E353" s="4"/>
      <c r="F353" s="5" t="s">
        <v>35</v>
      </c>
      <c r="G353" s="4" t="s">
        <v>14</v>
      </c>
    </row>
    <row r="354" spans="1:7" ht="12.75">
      <c r="A354" s="4">
        <v>352</v>
      </c>
      <c r="B354" s="5" t="s">
        <v>771</v>
      </c>
      <c r="C354" s="4">
        <f>2503+12130</f>
        <v>14633</v>
      </c>
      <c r="D354" s="5" t="s">
        <v>772</v>
      </c>
      <c r="E354" s="4"/>
      <c r="F354" s="5" t="s">
        <v>52</v>
      </c>
      <c r="G354" s="4" t="s">
        <v>14</v>
      </c>
    </row>
    <row r="355" spans="1:7" ht="12.75">
      <c r="A355" s="4">
        <v>353</v>
      </c>
      <c r="B355" s="5" t="s">
        <v>773</v>
      </c>
      <c r="C355" s="4">
        <f>-648+3917</f>
        <v>3269</v>
      </c>
      <c r="D355" s="5" t="s">
        <v>774</v>
      </c>
      <c r="E355" s="4"/>
      <c r="F355" s="5" t="s">
        <v>61</v>
      </c>
      <c r="G355" s="4" t="s">
        <v>14</v>
      </c>
    </row>
    <row r="356" spans="1:7" ht="12.75">
      <c r="A356" s="4">
        <v>354</v>
      </c>
      <c r="B356" s="5" t="s">
        <v>775</v>
      </c>
      <c r="C356" s="4">
        <f>5026+3031</f>
        <v>8057</v>
      </c>
      <c r="D356" s="5" t="s">
        <v>776</v>
      </c>
      <c r="E356" s="4" t="s">
        <v>379</v>
      </c>
      <c r="F356" s="5" t="s">
        <v>10</v>
      </c>
      <c r="G356" s="5" t="s">
        <v>61</v>
      </c>
    </row>
    <row r="357" spans="1:7" ht="12.75">
      <c r="A357" s="4">
        <v>355</v>
      </c>
      <c r="B357" s="5" t="s">
        <v>775</v>
      </c>
      <c r="C357" s="4">
        <f>4837+2218</f>
        <v>7055</v>
      </c>
      <c r="D357" s="5" t="s">
        <v>777</v>
      </c>
      <c r="E357" s="5" t="s">
        <v>778</v>
      </c>
      <c r="F357" s="5" t="s">
        <v>10</v>
      </c>
      <c r="G357" s="5" t="s">
        <v>61</v>
      </c>
    </row>
    <row r="358" spans="1:7" ht="12.75">
      <c r="A358" s="4">
        <v>356</v>
      </c>
      <c r="B358" s="5" t="s">
        <v>775</v>
      </c>
      <c r="C358" s="4">
        <f>4750+3510</f>
        <v>8260</v>
      </c>
      <c r="D358" s="5" t="s">
        <v>779</v>
      </c>
      <c r="E358" s="7" t="s">
        <v>780</v>
      </c>
      <c r="F358" s="5" t="s">
        <v>10</v>
      </c>
      <c r="G358" s="5" t="s">
        <v>61</v>
      </c>
    </row>
    <row r="359" spans="1:7" ht="12.75">
      <c r="A359" s="4">
        <v>357</v>
      </c>
      <c r="B359" s="5" t="s">
        <v>775</v>
      </c>
      <c r="C359" s="4">
        <f>4457+3406</f>
        <v>7863</v>
      </c>
      <c r="D359" s="5" t="s">
        <v>781</v>
      </c>
      <c r="E359" s="5" t="s">
        <v>782</v>
      </c>
      <c r="F359" s="5" t="s">
        <v>10</v>
      </c>
      <c r="G359" s="5" t="s">
        <v>61</v>
      </c>
    </row>
    <row r="360" spans="1:7" ht="12.75">
      <c r="A360" s="4">
        <v>358</v>
      </c>
      <c r="B360" s="5" t="s">
        <v>783</v>
      </c>
      <c r="C360" s="4">
        <f>19+3225</f>
        <v>3244</v>
      </c>
      <c r="D360" s="5" t="s">
        <v>784</v>
      </c>
      <c r="E360" s="4"/>
      <c r="F360" s="5" t="s">
        <v>61</v>
      </c>
      <c r="G360" s="4" t="s">
        <v>14</v>
      </c>
    </row>
    <row r="361" spans="1:7" ht="12.75">
      <c r="A361" s="4">
        <v>359</v>
      </c>
      <c r="B361" s="5" t="s">
        <v>785</v>
      </c>
      <c r="C361" s="4">
        <f>1645-16931</f>
        <v>-15286</v>
      </c>
      <c r="D361" s="5" t="s">
        <v>786</v>
      </c>
      <c r="E361" s="5" t="s">
        <v>787</v>
      </c>
      <c r="F361" s="5" t="s">
        <v>277</v>
      </c>
      <c r="G361" s="4" t="s">
        <v>14</v>
      </c>
    </row>
    <row r="362" spans="1:7" ht="12.75">
      <c r="A362" s="4">
        <v>360</v>
      </c>
      <c r="B362" s="5" t="s">
        <v>785</v>
      </c>
      <c r="C362" s="4">
        <f>2813-17722</f>
        <v>-14909</v>
      </c>
      <c r="D362" s="5" t="s">
        <v>788</v>
      </c>
      <c r="E362" s="5" t="s">
        <v>789</v>
      </c>
      <c r="F362" s="5" t="s">
        <v>90</v>
      </c>
      <c r="G362" s="4" t="s">
        <v>14</v>
      </c>
    </row>
    <row r="363" spans="1:7" ht="12.75">
      <c r="A363" s="4">
        <v>361</v>
      </c>
      <c r="B363" s="5" t="s">
        <v>785</v>
      </c>
      <c r="C363" s="4">
        <f>1917+16637</f>
        <v>18554</v>
      </c>
      <c r="D363" s="5" t="s">
        <v>790</v>
      </c>
      <c r="E363" s="5" t="s">
        <v>791</v>
      </c>
      <c r="F363" s="5" t="s">
        <v>35</v>
      </c>
      <c r="G363" s="4" t="s">
        <v>14</v>
      </c>
    </row>
    <row r="364" spans="1:7" ht="12.75">
      <c r="A364" s="4">
        <v>362</v>
      </c>
      <c r="B364" s="5" t="s">
        <v>792</v>
      </c>
      <c r="C364" s="4">
        <f>404251-740023</f>
        <v>-335772</v>
      </c>
      <c r="D364" s="5" t="s">
        <v>793</v>
      </c>
      <c r="E364" s="5" t="s">
        <v>794</v>
      </c>
      <c r="F364" s="5" t="s">
        <v>190</v>
      </c>
      <c r="G364" s="5" t="s">
        <v>20</v>
      </c>
    </row>
    <row r="365" spans="1:7" ht="12.75">
      <c r="A365" s="4">
        <v>363</v>
      </c>
      <c r="B365" s="5" t="s">
        <v>792</v>
      </c>
      <c r="C365" s="4">
        <f>421953-830245</f>
        <v>-408292</v>
      </c>
      <c r="D365" s="5" t="s">
        <v>795</v>
      </c>
      <c r="E365" s="7" t="s">
        <v>796</v>
      </c>
      <c r="F365" s="5" t="s">
        <v>190</v>
      </c>
      <c r="G365" s="5" t="s">
        <v>20</v>
      </c>
    </row>
    <row r="366" spans="1:7" ht="12.75">
      <c r="A366" s="4">
        <v>364</v>
      </c>
      <c r="B366" s="5" t="s">
        <v>792</v>
      </c>
      <c r="C366" s="4">
        <f>381515-854534</f>
        <v>-473019</v>
      </c>
      <c r="D366" s="6" t="s">
        <v>797</v>
      </c>
      <c r="E366" s="7" t="s">
        <v>798</v>
      </c>
      <c r="F366" s="5" t="s">
        <v>190</v>
      </c>
      <c r="G366" s="5" t="s">
        <v>20</v>
      </c>
    </row>
    <row r="367" spans="1:7" ht="12.75">
      <c r="A367" s="4">
        <v>365</v>
      </c>
      <c r="B367" s="5" t="s">
        <v>792</v>
      </c>
      <c r="C367" s="4">
        <f>364947-845057</f>
        <v>-480110</v>
      </c>
      <c r="D367" s="6" t="s">
        <v>799</v>
      </c>
      <c r="E367" s="7" t="s">
        <v>800</v>
      </c>
      <c r="F367" s="5" t="s">
        <v>190</v>
      </c>
      <c r="G367" s="5" t="s">
        <v>20</v>
      </c>
    </row>
    <row r="368" spans="1:7" ht="12.75">
      <c r="A368" s="4">
        <v>366</v>
      </c>
      <c r="B368" s="5" t="s">
        <v>792</v>
      </c>
      <c r="C368" s="4">
        <f>394606-860929</f>
        <v>-466323</v>
      </c>
      <c r="D368" s="6" t="s">
        <v>801</v>
      </c>
      <c r="E368" s="7" t="s">
        <v>802</v>
      </c>
      <c r="F368" s="5" t="s">
        <v>190</v>
      </c>
      <c r="G368" s="5" t="s">
        <v>20</v>
      </c>
    </row>
    <row r="369" spans="1:7" ht="12.75">
      <c r="A369" s="4">
        <v>367</v>
      </c>
      <c r="B369" s="5" t="s">
        <v>792</v>
      </c>
      <c r="C369" s="4">
        <f>384038-873143</f>
        <v>-489105</v>
      </c>
      <c r="D369" s="6" t="s">
        <v>803</v>
      </c>
      <c r="E369" s="7" t="s">
        <v>804</v>
      </c>
      <c r="F369" s="5" t="s">
        <v>190</v>
      </c>
      <c r="G369" s="5" t="s">
        <v>20</v>
      </c>
    </row>
    <row r="370" spans="1:7" ht="12.75">
      <c r="A370" s="4">
        <v>368</v>
      </c>
      <c r="B370" s="5" t="s">
        <v>792</v>
      </c>
      <c r="C370" s="4">
        <f>410305-863611</f>
        <v>-453306</v>
      </c>
      <c r="D370" s="6" t="s">
        <v>805</v>
      </c>
      <c r="E370" s="7" t="s">
        <v>806</v>
      </c>
      <c r="F370" s="5" t="s">
        <v>190</v>
      </c>
      <c r="G370" s="5" t="s">
        <v>20</v>
      </c>
    </row>
    <row r="371" spans="1:7" ht="12.75">
      <c r="A371" s="4">
        <v>369</v>
      </c>
      <c r="B371" s="5" t="s">
        <v>792</v>
      </c>
      <c r="C371" s="4">
        <f>382232-862041</f>
        <v>-479809</v>
      </c>
      <c r="D371" s="6" t="s">
        <v>807</v>
      </c>
      <c r="E371" s="7" t="s">
        <v>808</v>
      </c>
      <c r="F371" s="5" t="s">
        <v>190</v>
      </c>
      <c r="G371" s="5" t="s">
        <v>20</v>
      </c>
    </row>
    <row r="372" spans="1:7" ht="12.75">
      <c r="A372" s="4">
        <v>370</v>
      </c>
      <c r="B372" s="5" t="s">
        <v>792</v>
      </c>
      <c r="C372" s="4">
        <f>382931-871643</f>
        <v>-488712</v>
      </c>
      <c r="D372" s="6" t="s">
        <v>809</v>
      </c>
      <c r="E372" s="7" t="s">
        <v>810</v>
      </c>
      <c r="F372" s="5" t="s">
        <v>190</v>
      </c>
      <c r="G372" s="5" t="s">
        <v>20</v>
      </c>
    </row>
    <row r="373" spans="1:7" ht="12.75">
      <c r="A373" s="4">
        <v>371</v>
      </c>
      <c r="B373" s="5" t="s">
        <v>792</v>
      </c>
      <c r="C373" s="4">
        <f>384452-850402</f>
        <v>-465950</v>
      </c>
      <c r="D373" s="6" t="s">
        <v>811</v>
      </c>
      <c r="E373" s="7" t="s">
        <v>812</v>
      </c>
      <c r="F373" s="5" t="s">
        <v>190</v>
      </c>
      <c r="G373" s="5" t="s">
        <v>20</v>
      </c>
    </row>
    <row r="374" spans="1:7" ht="12.75">
      <c r="A374" s="4">
        <v>372</v>
      </c>
      <c r="B374" s="5" t="s">
        <v>792</v>
      </c>
      <c r="C374" s="4">
        <f>415100-873900</f>
        <v>-458800</v>
      </c>
      <c r="D374" s="5" t="s">
        <v>813</v>
      </c>
      <c r="E374" s="5" t="s">
        <v>814</v>
      </c>
      <c r="F374" s="5" t="s">
        <v>199</v>
      </c>
      <c r="G374" s="5" t="s">
        <v>190</v>
      </c>
    </row>
    <row r="375" spans="1:7" ht="12.75">
      <c r="A375" s="4">
        <v>373</v>
      </c>
      <c r="B375" s="5" t="s">
        <v>792</v>
      </c>
      <c r="C375" s="4">
        <f>375711-864541</f>
        <v>-488830</v>
      </c>
      <c r="D375" s="6" t="s">
        <v>815</v>
      </c>
      <c r="E375" s="7" t="s">
        <v>816</v>
      </c>
      <c r="F375" s="5" t="s">
        <v>199</v>
      </c>
      <c r="G375" s="5" t="s">
        <v>190</v>
      </c>
    </row>
    <row r="376" spans="1:7" ht="12.75">
      <c r="A376" s="4">
        <v>374</v>
      </c>
      <c r="B376" s="5" t="s">
        <v>792</v>
      </c>
      <c r="C376" s="4">
        <f>411745-863730</f>
        <v>-451985</v>
      </c>
      <c r="D376" s="6" t="s">
        <v>817</v>
      </c>
      <c r="E376" s="7" t="s">
        <v>818</v>
      </c>
      <c r="F376" s="5" t="s">
        <v>199</v>
      </c>
      <c r="G376" s="5" t="s">
        <v>190</v>
      </c>
    </row>
    <row r="377" spans="1:7" ht="12.75">
      <c r="A377" s="4">
        <v>375</v>
      </c>
      <c r="B377" s="5" t="s">
        <v>792</v>
      </c>
      <c r="C377" s="4">
        <f>450628-873651</f>
        <v>-423023</v>
      </c>
      <c r="D377" s="5" t="s">
        <v>819</v>
      </c>
      <c r="E377" s="7" t="s">
        <v>820</v>
      </c>
      <c r="F377" s="5" t="s">
        <v>199</v>
      </c>
      <c r="G377" s="5" t="s">
        <v>190</v>
      </c>
    </row>
    <row r="378" spans="1:7" ht="12.75">
      <c r="A378" s="4">
        <v>376</v>
      </c>
      <c r="B378" s="5" t="s">
        <v>792</v>
      </c>
      <c r="C378" s="4">
        <f>470659-1011757</f>
        <v>-541098</v>
      </c>
      <c r="D378" s="6" t="s">
        <v>821</v>
      </c>
      <c r="E378" s="8" t="s">
        <v>822</v>
      </c>
      <c r="F378" s="5" t="s">
        <v>199</v>
      </c>
      <c r="G378" s="5" t="s">
        <v>190</v>
      </c>
    </row>
    <row r="379" spans="1:7" ht="12.75">
      <c r="A379" s="4">
        <v>377</v>
      </c>
      <c r="B379" s="5" t="s">
        <v>792</v>
      </c>
      <c r="C379" s="4">
        <f>465042-1012439</f>
        <v>-547397</v>
      </c>
      <c r="D379" s="6" t="s">
        <v>823</v>
      </c>
      <c r="E379" s="7" t="s">
        <v>824</v>
      </c>
      <c r="F379" s="5" t="s">
        <v>199</v>
      </c>
      <c r="G379" s="5" t="s">
        <v>190</v>
      </c>
    </row>
    <row r="380" spans="1:7" ht="12.75">
      <c r="A380" s="4">
        <v>378</v>
      </c>
      <c r="B380" s="5" t="s">
        <v>792</v>
      </c>
      <c r="C380" s="4">
        <f>394421-1045903</f>
        <v>-651482</v>
      </c>
      <c r="D380" s="5" t="s">
        <v>825</v>
      </c>
      <c r="E380" s="5" t="s">
        <v>826</v>
      </c>
      <c r="F380" s="5" t="s">
        <v>243</v>
      </c>
      <c r="G380" s="5" t="s">
        <v>199</v>
      </c>
    </row>
    <row r="381" spans="1:7" ht="12.75">
      <c r="A381" s="4">
        <v>379</v>
      </c>
      <c r="B381" s="5" t="s">
        <v>792</v>
      </c>
      <c r="C381" s="4">
        <f>433649-1161209</f>
        <v>-727560</v>
      </c>
      <c r="D381" s="5" t="s">
        <v>827</v>
      </c>
      <c r="E381" s="7" t="s">
        <v>828</v>
      </c>
      <c r="F381" s="5" t="s">
        <v>243</v>
      </c>
      <c r="G381" s="5" t="s">
        <v>199</v>
      </c>
    </row>
    <row r="382" spans="1:7" ht="12.75">
      <c r="A382" s="4">
        <v>380</v>
      </c>
      <c r="B382" s="5" t="s">
        <v>792</v>
      </c>
      <c r="C382" s="4">
        <f>364708-1084111</f>
        <v>-719403</v>
      </c>
      <c r="D382" s="5" t="s">
        <v>829</v>
      </c>
      <c r="E382" s="7" t="s">
        <v>830</v>
      </c>
      <c r="F382" s="5" t="s">
        <v>243</v>
      </c>
      <c r="G382" s="5" t="s">
        <v>199</v>
      </c>
    </row>
    <row r="383" spans="1:7" ht="12.75">
      <c r="A383" s="4">
        <v>381</v>
      </c>
      <c r="B383" s="5" t="s">
        <v>792</v>
      </c>
      <c r="C383" s="4">
        <f>332654-1120424</f>
        <v>-787770</v>
      </c>
      <c r="D383" s="5" t="s">
        <v>831</v>
      </c>
      <c r="E383" s="7" t="s">
        <v>832</v>
      </c>
      <c r="F383" s="5" t="s">
        <v>243</v>
      </c>
      <c r="G383" s="4" t="s">
        <v>14</v>
      </c>
    </row>
    <row r="384" spans="1:7" ht="12.75">
      <c r="A384" s="4">
        <v>382</v>
      </c>
      <c r="B384" s="5" t="s">
        <v>792</v>
      </c>
      <c r="C384" s="4">
        <f>340308-1181434</f>
        <v>-841126</v>
      </c>
      <c r="D384" s="5" t="s">
        <v>833</v>
      </c>
      <c r="E384" s="5" t="s">
        <v>834</v>
      </c>
      <c r="F384" s="5" t="s">
        <v>254</v>
      </c>
      <c r="G384" s="5" t="s">
        <v>243</v>
      </c>
    </row>
    <row r="385" spans="1:7" ht="12.75">
      <c r="A385" s="4">
        <v>383</v>
      </c>
      <c r="B385" s="5" t="s">
        <v>792</v>
      </c>
      <c r="C385" s="4">
        <f>611305-1495401</f>
        <v>-884096</v>
      </c>
      <c r="D385" s="5" t="s">
        <v>835</v>
      </c>
      <c r="E385" s="5" t="s">
        <v>836</v>
      </c>
      <c r="F385" s="5" t="s">
        <v>632</v>
      </c>
      <c r="G385" s="5" t="s">
        <v>254</v>
      </c>
    </row>
    <row r="386" spans="1:7" ht="12.75">
      <c r="A386" s="4">
        <v>384</v>
      </c>
      <c r="B386" s="5" t="s">
        <v>792</v>
      </c>
      <c r="C386" s="4">
        <f>581807-1342511</f>
        <v>-760704</v>
      </c>
      <c r="D386" s="5" t="s">
        <v>837</v>
      </c>
      <c r="E386" s="7" t="s">
        <v>838</v>
      </c>
      <c r="F386" s="5" t="s">
        <v>632</v>
      </c>
      <c r="G386" s="5" t="s">
        <v>254</v>
      </c>
    </row>
    <row r="387" spans="1:7" ht="12.75">
      <c r="A387" s="4">
        <v>385</v>
      </c>
      <c r="B387" s="5" t="s">
        <v>792</v>
      </c>
      <c r="C387" s="4">
        <f>593249-1394338</f>
        <v>-801089</v>
      </c>
      <c r="D387" s="5" t="s">
        <v>839</v>
      </c>
      <c r="E387" s="7" t="s">
        <v>840</v>
      </c>
      <c r="F387" s="5" t="s">
        <v>632</v>
      </c>
      <c r="G387" s="5" t="s">
        <v>254</v>
      </c>
    </row>
    <row r="388" spans="1:7" ht="12.75">
      <c r="A388" s="4">
        <v>386</v>
      </c>
      <c r="B388" s="5" t="s">
        <v>792</v>
      </c>
      <c r="C388" s="4">
        <f>643004-1652423</f>
        <v>-1009419</v>
      </c>
      <c r="D388" s="5" t="s">
        <v>841</v>
      </c>
      <c r="E388" s="7" t="s">
        <v>842</v>
      </c>
      <c r="F388" s="5" t="s">
        <v>632</v>
      </c>
      <c r="G388" s="5" t="s">
        <v>254</v>
      </c>
    </row>
    <row r="389" spans="1:7" ht="12.75">
      <c r="A389" s="4">
        <v>387</v>
      </c>
      <c r="B389" s="5" t="s">
        <v>792</v>
      </c>
      <c r="C389" s="4">
        <f>515248-1763929</f>
        <v>-1248681</v>
      </c>
      <c r="D389" s="5" t="s">
        <v>843</v>
      </c>
      <c r="E389" s="5" t="s">
        <v>844</v>
      </c>
      <c r="F389" s="5" t="s">
        <v>277</v>
      </c>
      <c r="G389" s="5" t="s">
        <v>632</v>
      </c>
    </row>
    <row r="390" spans="1:7" ht="12.75">
      <c r="A390" s="4">
        <v>388</v>
      </c>
      <c r="B390" s="5" t="s">
        <v>792</v>
      </c>
      <c r="C390" s="4">
        <f>211825-1575130</f>
        <v>-1363305</v>
      </c>
      <c r="D390" s="5" t="s">
        <v>845</v>
      </c>
      <c r="E390" s="5" t="s">
        <v>846</v>
      </c>
      <c r="F390" s="5" t="s">
        <v>277</v>
      </c>
      <c r="G390" s="4" t="s">
        <v>14</v>
      </c>
    </row>
    <row r="391" spans="1:7" ht="12.75">
      <c r="A391" s="4">
        <v>389</v>
      </c>
      <c r="B391" s="5" t="s">
        <v>847</v>
      </c>
      <c r="C391" s="4">
        <f>-3453-5611</f>
        <v>-9064</v>
      </c>
      <c r="D391" s="5" t="s">
        <v>848</v>
      </c>
      <c r="E391" s="4"/>
      <c r="F391" s="5" t="s">
        <v>41</v>
      </c>
      <c r="G391" s="5" t="s">
        <v>65</v>
      </c>
    </row>
    <row r="392" spans="1:7" ht="12.75">
      <c r="A392" s="4">
        <v>390</v>
      </c>
      <c r="B392" s="5" t="s">
        <v>849</v>
      </c>
      <c r="C392" s="4">
        <f>3940+6648</f>
        <v>10588</v>
      </c>
      <c r="D392" s="5" t="s">
        <v>850</v>
      </c>
      <c r="E392" s="5" t="s">
        <v>851</v>
      </c>
      <c r="F392" s="5" t="s">
        <v>27</v>
      </c>
      <c r="G392" s="4" t="s">
        <v>14</v>
      </c>
    </row>
    <row r="393" spans="1:7" ht="12.75">
      <c r="A393" s="4">
        <v>391</v>
      </c>
      <c r="B393" s="5" t="s">
        <v>849</v>
      </c>
      <c r="C393" s="4">
        <f>4120+6918</f>
        <v>11038</v>
      </c>
      <c r="D393" s="5" t="s">
        <v>852</v>
      </c>
      <c r="E393" s="5" t="s">
        <v>853</v>
      </c>
      <c r="F393" s="5" t="s">
        <v>27</v>
      </c>
      <c r="G393" s="4" t="s">
        <v>14</v>
      </c>
    </row>
    <row r="394" spans="1:7" ht="12.75">
      <c r="A394" s="4">
        <v>392</v>
      </c>
      <c r="B394" s="5" t="s">
        <v>854</v>
      </c>
      <c r="C394" s="4">
        <f>415408+122711</f>
        <v>538119</v>
      </c>
      <c r="D394" s="5" t="s">
        <v>855</v>
      </c>
      <c r="E394" s="4"/>
      <c r="F394" s="5" t="s">
        <v>9</v>
      </c>
      <c r="G394" s="5" t="s">
        <v>10</v>
      </c>
    </row>
    <row r="395" spans="1:7" ht="12.75">
      <c r="A395" s="4">
        <v>393</v>
      </c>
      <c r="B395" s="5" t="s">
        <v>856</v>
      </c>
      <c r="C395" s="4">
        <f>1309-6114</f>
        <v>-4805</v>
      </c>
      <c r="D395" s="5" t="s">
        <v>857</v>
      </c>
      <c r="E395" s="4"/>
      <c r="F395" s="5" t="s">
        <v>20</v>
      </c>
      <c r="G395" s="4" t="s">
        <v>14</v>
      </c>
    </row>
    <row r="396" spans="1:7" ht="12.75">
      <c r="A396" s="4">
        <v>394</v>
      </c>
      <c r="B396" s="5" t="s">
        <v>858</v>
      </c>
      <c r="C396" s="4">
        <f>1030-6656</f>
        <v>-5626</v>
      </c>
      <c r="D396" s="5" t="s">
        <v>859</v>
      </c>
      <c r="E396" s="4"/>
      <c r="F396" s="5" t="s">
        <v>860</v>
      </c>
      <c r="G396" s="4" t="s">
        <v>14</v>
      </c>
    </row>
    <row r="397" spans="1:7" ht="12.75">
      <c r="A397" s="4">
        <v>395</v>
      </c>
      <c r="B397" s="5" t="s">
        <v>861</v>
      </c>
      <c r="C397" s="4">
        <f>1827-6437</f>
        <v>-4610</v>
      </c>
      <c r="D397" s="5" t="s">
        <v>862</v>
      </c>
      <c r="E397" s="4"/>
      <c r="F397" s="5" t="s">
        <v>20</v>
      </c>
      <c r="G397" s="4" t="s">
        <v>14</v>
      </c>
    </row>
    <row r="398" spans="1:7" ht="12.75">
      <c r="A398" s="4">
        <v>396</v>
      </c>
      <c r="B398" s="5" t="s">
        <v>863</v>
      </c>
      <c r="C398" s="4">
        <f>1821-6456</f>
        <v>-4635</v>
      </c>
      <c r="D398" s="5" t="s">
        <v>864</v>
      </c>
      <c r="E398" s="4"/>
      <c r="F398" s="5" t="s">
        <v>20</v>
      </c>
      <c r="G398" s="4" t="s">
        <v>14</v>
      </c>
    </row>
    <row r="399" spans="1:7" ht="12.75">
      <c r="A399" s="4">
        <v>397</v>
      </c>
      <c r="B399" s="5" t="s">
        <v>865</v>
      </c>
      <c r="C399" s="4">
        <f>1045+10640</f>
        <v>11685</v>
      </c>
      <c r="D399" s="5" t="s">
        <v>866</v>
      </c>
      <c r="E399" s="4"/>
      <c r="F399" s="5" t="s">
        <v>49</v>
      </c>
      <c r="G399" s="4" t="s">
        <v>14</v>
      </c>
    </row>
    <row r="400" spans="1:7" ht="12.75">
      <c r="A400" s="4">
        <v>398</v>
      </c>
      <c r="B400" s="5" t="s">
        <v>867</v>
      </c>
      <c r="C400" s="4">
        <f>-1740+16825</f>
        <v>15085</v>
      </c>
      <c r="D400" s="5" t="s">
        <v>868</v>
      </c>
      <c r="E400" s="4"/>
      <c r="F400" s="5" t="s">
        <v>97</v>
      </c>
      <c r="G400" s="4" t="s">
        <v>14</v>
      </c>
    </row>
    <row r="401" spans="1:7" ht="12.75">
      <c r="A401" s="4">
        <v>399</v>
      </c>
      <c r="B401" s="5" t="s">
        <v>869</v>
      </c>
      <c r="C401" s="4">
        <f>-1318-17610</f>
        <v>-18928</v>
      </c>
      <c r="D401" s="5" t="s">
        <v>870</v>
      </c>
      <c r="E401" s="4"/>
      <c r="F401" s="5" t="s">
        <v>35</v>
      </c>
      <c r="G401" s="4" t="s">
        <v>14</v>
      </c>
    </row>
    <row r="402" spans="1:7" ht="12.75">
      <c r="A402" s="4">
        <v>400</v>
      </c>
      <c r="B402" s="5" t="s">
        <v>871</v>
      </c>
      <c r="C402" s="4">
        <f>-1350-17144</f>
        <v>-18494</v>
      </c>
      <c r="D402" s="5" t="s">
        <v>872</v>
      </c>
      <c r="E402" s="4"/>
      <c r="F402" s="5" t="s">
        <v>36</v>
      </c>
      <c r="G402" s="5" t="s">
        <v>467</v>
      </c>
    </row>
    <row r="403" spans="1:7" ht="12.75">
      <c r="A403" s="4">
        <v>401</v>
      </c>
      <c r="B403" s="5" t="s">
        <v>873</v>
      </c>
      <c r="C403" s="4">
        <f>1245+4512</f>
        <v>5757</v>
      </c>
      <c r="D403" s="5" t="s">
        <v>874</v>
      </c>
      <c r="E403" s="4"/>
      <c r="F403" s="5" t="s">
        <v>61</v>
      </c>
      <c r="G403" s="4" t="s">
        <v>14</v>
      </c>
    </row>
    <row r="404" spans="1:7" ht="12.75">
      <c r="A404" s="4">
        <v>402</v>
      </c>
      <c r="B404" s="5" t="s">
        <v>875</v>
      </c>
      <c r="C404" s="4">
        <f>-1247+4514</f>
        <v>3267</v>
      </c>
      <c r="D404" s="5" t="s">
        <v>876</v>
      </c>
      <c r="E404" s="4"/>
      <c r="F404" s="5" t="s">
        <v>61</v>
      </c>
      <c r="G404" s="4" t="s">
        <v>14</v>
      </c>
    </row>
    <row r="405" spans="1:7" ht="12.75">
      <c r="A405" s="4">
        <v>403</v>
      </c>
      <c r="B405" s="5" t="s">
        <v>877</v>
      </c>
      <c r="C405" s="4">
        <f>-2615+2800</f>
        <v>185</v>
      </c>
      <c r="D405" s="5" t="s">
        <v>878</v>
      </c>
      <c r="E405" s="4"/>
      <c r="F405" s="5" t="s">
        <v>10</v>
      </c>
      <c r="G405" s="4" t="s">
        <v>14</v>
      </c>
    </row>
    <row r="406" spans="1:7" ht="12.75">
      <c r="A406" s="4">
        <v>404</v>
      </c>
      <c r="B406" s="5" t="s">
        <v>879</v>
      </c>
      <c r="C406" s="4">
        <f>-1525+2817</f>
        <v>1292</v>
      </c>
      <c r="D406" s="5" t="s">
        <v>880</v>
      </c>
      <c r="E406" s="4"/>
      <c r="F406" s="5" t="s">
        <v>10</v>
      </c>
      <c r="G406" s="4" t="s">
        <v>14</v>
      </c>
    </row>
    <row r="407" spans="1:7" ht="12.75">
      <c r="A407" s="4">
        <v>405</v>
      </c>
      <c r="B407" s="5" t="s">
        <v>881</v>
      </c>
      <c r="C407" s="4">
        <f>-1750+3103</f>
        <v>1353</v>
      </c>
      <c r="D407" s="5" t="s">
        <v>882</v>
      </c>
      <c r="E407" s="4"/>
      <c r="F407" s="5" t="s">
        <v>10</v>
      </c>
      <c r="G407" s="4" t="s">
        <v>14</v>
      </c>
    </row>
    <row r="409" ht="12.75">
      <c r="A409" s="9" t="s">
        <v>883</v>
      </c>
    </row>
  </sheetData>
  <sheetProtection selectLockedCells="1" selectUnlockedCells="1"/>
  <hyperlinks>
    <hyperlink ref="A409" r:id="rId1" display="[edit]Number of zones per region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Payam</dc:creator>
  <cp:keywords/>
  <dc:description/>
  <cp:lastModifiedBy>Payam Rastogi</cp:lastModifiedBy>
  <dcterms:created xsi:type="dcterms:W3CDTF">2012-02-13T17:42:29Z</dcterms:created>
  <dcterms:modified xsi:type="dcterms:W3CDTF">2012-02-22T10:27:46Z</dcterms:modified>
  <cp:category/>
  <cp:version/>
  <cp:contentType/>
  <cp:contentStatus/>
  <cp:revision>2</cp:revision>
</cp:coreProperties>
</file>